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AMDEC" sheetId="3" state="visible" r:id="rId3"/>
    <sheet xmlns:r="http://schemas.openxmlformats.org/officeDocument/2006/relationships" name="Plan d'actions" sheetId="4" state="visible" r:id="rId4"/>
    <sheet xmlns:r="http://schemas.openxmlformats.org/officeDocument/2006/relationships" name="Matrice G x O" sheetId="5" state="visible" r:id="rId5"/>
    <sheet xmlns:r="http://schemas.openxmlformats.org/officeDocument/2006/relationships" name="Pareto des IPR" sheetId="6" state="visible" r:id="rId6"/>
    <sheet xmlns:r="http://schemas.openxmlformats.org/officeDocument/2006/relationships" name="Cotation" sheetId="7" state="visible" r:id="rId7"/>
    <sheet xmlns:r="http://schemas.openxmlformats.org/officeDocument/2006/relationships" name="Paramètres" sheetId="8" state="visible" r:id="rId8"/>
    <sheet xmlns:r="http://schemas.openxmlformats.org/officeDocument/2006/relationships" name="Pourquoi Qualis ERP" sheetId="9" state="visible" r:id="rId9"/>
  </sheets>
  <definedNames>
    <definedName name="am_num">'AMDEC'!$A$6:$A$505</definedName>
    <definedName name="am_step">'AMDEC'!$B$6:$B$505</definedName>
    <definedName name="am_mode">'AMDEC'!$D$6:$D$505</definedName>
    <definedName name="am_g">'AMDEC'!$F$6:$F$505</definedName>
    <definedName name="am_o">'AMDEC'!$H$6:$H$505</definedName>
    <definedName name="am_d">'AMDEC'!$K$6:$K$505</definedName>
    <definedName name="am_ipr">'AMDEC'!$L$6:$L$505</definedName>
    <definedName name="am_crit">'AMDEC'!$M$6:$M$505</definedName>
    <definedName name="am_action">'AMDEC'!$O$6:$O$505</definedName>
    <definedName name="am_who">'AMDEC'!$P$6:$P$505</definedName>
    <definedName name="am_due">'AMDEC'!$Q$6:$Q$505</definedName>
    <definedName name="am_status">'AMDEC'!$R$6:$R$505</definedName>
    <definedName name="am_cost">'AMDEC'!$T$6:$T$505</definedName>
    <definedName name="am_ipr2">'AMDEC'!$X$6:$X$505</definedName>
    <definedName name="am_suivi">'AMDEC'!$AA$6:$AA$505</definedName>
    <definedName name="am_check">'AMDEC'!$AB$6:$AB$505</definedName>
    <definedName name="am_plankey">'AMDEC'!$AC$6:$AC$505</definedName>
    <definedName name="am_parkey">'AMDEC'!$AD$6:$AD$505</definedName>
    <definedName name="am_attkey">'AMDEC'!$AE$6:$AE$505</definedName>
    <definedName name="am_cipr">'AMDEC'!$AF$6:$AF$505</definedName>
    <definedName name="am_ccrit">'AMDEC'!$AG$6:$AG$505</definedName>
    <definedName name="am_cg">'AMDEC'!$AH$6:$AH$505</definedName>
    <definedName name="am_co">'AMDEC'!$AI$6:$AI$505</definedName>
    <definedName name="p_company">'Paramètres'!$B$5</definedName>
    <definedName name="p_scope">'Paramètres'!$B$7</definedName>
    <definedName name="p_today_in">'Paramètres'!$B$8</definedName>
    <definedName name="p_alert">'Paramètres'!$B$9</definedName>
    <definedName name="p_gmin">'Paramètres'!$B$12</definedName>
    <definedName name="p_ipr_crit">'Paramètres'!$B$13</definedName>
    <definedName name="p_ipr_act">'Paramètres'!$B$14</definedName>
    <definedName name="p_ipr_watch">'Paramètres'!$B$15</definedName>
    <definedName name="p_go_red">'Paramètres'!$B$16</definedName>
    <definedName name="p_go_orange">'Paramètres'!$B$17</definedName>
    <definedName name="p_today">'Paramètres'!$B$21</definedName>
    <definedName name="p_people">'Paramètres'!$D$12:$D$41</definedName>
    <definedName name="plan_who">'Plan d''actions'!$C$4</definedName>
    <definedName name="p_currency">'Paramètres'!$B$6</definedName>
    <definedName name="_xlnm._FilterDatabase" localSheetId="2" hidden="1">'AMDEC'!$A$5:$AB$505</definedName>
    <definedName name="_xlnm.Print_Titles" localSheetId="2">'AMDEC'!$4:$5</definedName>
    <definedName name="_xlnm.Print_Titles" localSheetId="3">'Plan d''actions'!$6:$6</definedName>
    <definedName name="_xlnm.Print_Titles" localSheetId="5">'Pareto des IPR'!$6:$6</definedName>
  </definedNames>
  <calcPr calcId="124519" fullCalcOnLoad="1"/>
</workbook>
</file>

<file path=xl/styles.xml><?xml version="1.0" encoding="utf-8"?>
<styleSheet xmlns="http://schemas.openxmlformats.org/spreadsheetml/2006/main">
  <numFmts count="4">
    <numFmt numFmtId="164" formatCode="dd/mm/yyyy"/>
    <numFmt numFmtId="165" formatCode="0%;-0%;0%"/>
    <numFmt numFmtId="166" formatCode="0;-0;"/>
    <numFmt numFmtId="167" formatCode="0.0%"/>
  </numFmts>
  <fonts count="40">
    <font>
      <name val="Calibri"/>
      <family val="2"/>
      <color theme="1"/>
      <sz val="11"/>
      <scheme val="minor"/>
    </font>
    <font>
      <name val="Calibri"/>
      <b val="1"/>
      <color rgb="FFFFFFFF"/>
      <sz val="18"/>
    </font>
    <font>
      <name val="Calibri"/>
      <i val="1"/>
      <color rgb="FFB91C1C"/>
      <sz val="10"/>
    </font>
    <font>
      <name val="Calibri"/>
      <b val="1"/>
      <color rgb="FF0F172A"/>
      <sz val="12"/>
    </font>
    <font>
      <name val="Calibri"/>
      <b val="1"/>
      <color rgb="FFB91C1C"/>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b val="1"/>
      <color rgb="FF64748B"/>
      <sz val="9"/>
    </font>
    <font>
      <name val="Calibri"/>
      <color rgb="FF64748B"/>
      <sz val="10"/>
    </font>
    <font>
      <name val="Calibri"/>
      <i val="1"/>
      <color rgb="FF64748B"/>
      <sz val="9"/>
    </font>
    <font>
      <name val="Calibri"/>
      <b val="1"/>
      <color rgb="FFFFFFFF"/>
      <sz val="10"/>
    </font>
    <font>
      <name val="Calibri"/>
      <b val="1"/>
      <color rgb="FFB91C1C"/>
      <sz val="10"/>
    </font>
    <font>
      <name val="Calibri"/>
      <color rgb="FF0F172A"/>
      <sz val="10"/>
    </font>
    <font>
      <name val="Calibri"/>
      <b val="1"/>
      <color rgb="FF92400E"/>
      <sz val="10"/>
    </font>
    <font>
      <name val="Calibri"/>
      <b val="1"/>
      <color rgb="FF1D4ED8"/>
      <sz val="10"/>
    </font>
    <font>
      <name val="Calibri"/>
      <b val="1"/>
      <color rgb="FFB91C1C"/>
      <sz val="9"/>
    </font>
    <font>
      <name val="Calibri"/>
      <b val="1"/>
      <color rgb="FFC2410C"/>
      <sz val="9"/>
    </font>
    <font>
      <name val="Calibri"/>
      <b val="1"/>
      <color rgb="FF92400E"/>
      <sz val="9"/>
    </font>
    <font>
      <name val="Calibri"/>
      <b val="1"/>
      <color rgb="FF166534"/>
      <sz val="9"/>
    </font>
    <font>
      <name val="Calibri"/>
      <color rgb="FF334155"/>
      <sz val="10"/>
    </font>
    <font>
      <name val="Calibri"/>
      <b val="1"/>
      <color rgb="FF0F172A"/>
      <sz val="11"/>
    </font>
    <font>
      <name val="Calibri"/>
      <b val="1"/>
      <color rgb="FF0F172A"/>
      <sz val="9"/>
    </font>
    <font>
      <name val="Calibri"/>
      <b val="1"/>
      <color rgb="FF0F172A"/>
      <sz val="20"/>
    </font>
    <font>
      <name val="Calibri"/>
      <i val="1"/>
      <color rgb="FF94A3B8"/>
      <sz val="8"/>
    </font>
    <font>
      <name val="Calibri"/>
      <b val="1"/>
      <color rgb="FFB91C1C"/>
      <sz val="20"/>
    </font>
    <font>
      <name val="Calibri"/>
      <b val="1"/>
      <color rgb="FF1D4ED8"/>
      <sz val="20"/>
    </font>
    <font>
      <name val="Calibri"/>
      <b val="1"/>
      <color rgb="FF166534"/>
      <sz val="20"/>
    </font>
    <font>
      <name val="Calibri"/>
      <b val="1"/>
      <color rgb="FFFFFFFF"/>
      <sz val="22"/>
    </font>
    <font>
      <name val="Calibri"/>
      <b val="1"/>
      <color rgb="FFBFDBFE"/>
      <sz val="13"/>
    </font>
    <font>
      <name val="Calibri"/>
      <color rgb="FFE2E8F0"/>
      <sz val="10"/>
    </font>
    <font>
      <name val="Calibri"/>
      <color rgb="FF166534"/>
      <sz val="10"/>
    </font>
    <font>
      <name val="Calibri"/>
      <b val="1"/>
      <color rgb="FF475569"/>
      <sz val="9"/>
    </font>
    <font>
      <name val="Calibri"/>
      <b val="1"/>
      <color rgb="FF1E3A8A"/>
      <sz val="13"/>
      <u val="single"/>
    </font>
    <font>
      <name val="Calibri"/>
      <b val="1"/>
      <color rgb="FF2563EB"/>
      <sz val="11"/>
      <u val="single"/>
    </font>
    <font>
      <name val="Calibri"/>
      <color rgb="FF2563EB"/>
      <sz val="10"/>
      <u val="single"/>
    </font>
  </fonts>
  <fills count="18">
    <fill>
      <patternFill/>
    </fill>
    <fill>
      <patternFill patternType="gray125"/>
    </fill>
    <fill>
      <patternFill patternType="solid">
        <fgColor rgb="FFB91C1C"/>
        <bgColor rgb="FFB91C1C"/>
      </patternFill>
    </fill>
    <fill>
      <patternFill patternType="solid">
        <fgColor rgb="FFFEE2E2"/>
        <bgColor rgb="FFFEE2E2"/>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FFEDD5"/>
        <bgColor rgb="FFFFEDD5"/>
      </patternFill>
    </fill>
    <fill>
      <patternFill patternType="solid">
        <fgColor rgb="FFFEF3C7"/>
        <bgColor rgb="FFFEF3C7"/>
      </patternFill>
    </fill>
    <fill>
      <patternFill patternType="solid">
        <fgColor rgb="FFDCFCE7"/>
        <bgColor rgb="FFDCFCE7"/>
      </patternFill>
    </fill>
    <fill>
      <patternFill patternType="solid">
        <fgColor rgb="FFFCA5A5"/>
        <bgColor rgb="FFFCA5A5"/>
      </patternFill>
    </fill>
    <fill>
      <patternFill patternType="solid">
        <fgColor rgb="FFFED7AA"/>
        <bgColor rgb="FFFED7AA"/>
      </patternFill>
    </fill>
    <fill>
      <patternFill patternType="solid">
        <fgColor rgb="FFBBF7D0"/>
        <bgColor rgb="FFBBF7D0"/>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s>
  <borders count="31">
    <border>
      <left/>
      <right/>
      <top/>
      <bottom/>
      <diagonal/>
    </border>
    <border>
      <bottom style="medium">
        <color rgb="FFB91C1C"/>
      </bottom>
    </border>
    <border>
      <bottom style="thin">
        <color rgb="FFE2E8F0"/>
      </bottom>
    </border>
    <border>
      <left style="thin">
        <color rgb="FFCBD5E1"/>
      </left>
      <right style="thin">
        <color rgb="FFCBD5E1"/>
      </right>
      <top style="thin">
        <color rgb="FFCBD5E1"/>
      </top>
      <bottom style="thin">
        <color rgb="FFCBD5E1"/>
      </bottom>
    </border>
    <border>
      <left style="thick">
        <color rgb="FF0F172A"/>
      </left>
      <top style="thin">
        <color rgb="FFE2E8F0"/>
      </top>
    </border>
    <border>
      <top style="thin">
        <color rgb="FFE2E8F0"/>
      </top>
    </border>
    <border>
      <right style="thin">
        <color rgb="FFE2E8F0"/>
      </right>
      <top style="thin">
        <color rgb="FFE2E8F0"/>
      </top>
    </border>
    <border>
      <left style="thick">
        <color rgb="FF0F172A"/>
      </left>
    </border>
    <border/>
    <border>
      <right style="thin">
        <color rgb="FFE2E8F0"/>
      </right>
    </border>
    <border>
      <left style="thick">
        <color rgb="FF0F172A"/>
      </left>
      <bottom style="thin">
        <color rgb="FFE2E8F0"/>
      </bottom>
    </border>
    <border>
      <right style="thin">
        <color rgb="FFE2E8F0"/>
      </righ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style="thick">
        <color rgb="FF1D4ED8"/>
      </left>
      <top style="thin">
        <color rgb="FFE2E8F0"/>
      </top>
    </border>
    <border>
      <left style="thick">
        <color rgb="FF1D4ED8"/>
      </left>
    </border>
    <border>
      <left style="thick">
        <color rgb="FF1D4ED8"/>
      </left>
      <bottom style="thin">
        <color rgb="FFE2E8F0"/>
      </bottom>
    </border>
    <border>
      <left style="thick">
        <color rgb="FF166534"/>
      </left>
      <top style="thin">
        <color rgb="FFE2E8F0"/>
      </top>
    </border>
    <border>
      <left style="thick">
        <color rgb="FF166534"/>
      </left>
    </border>
    <border>
      <left style="thick">
        <color rgb="FF166534"/>
      </left>
      <bottom style="thin">
        <color rgb="FFE2E8F0"/>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26">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14" fillId="0" borderId="0" applyAlignment="1" pivotButton="0" quotePrefix="0" xfId="0">
      <alignment horizontal="right"/>
    </xf>
    <xf numFmtId="164" fontId="12" fillId="0" borderId="0" pivotButton="0" quotePrefix="0" xfId="0"/>
    <xf numFmtId="0" fontId="12" fillId="4" borderId="4" applyAlignment="1" pivotButton="0" quotePrefix="0" xfId="0">
      <alignment vertical="bottom" indent="1"/>
    </xf>
    <xf numFmtId="0" fontId="0" fillId="4" borderId="5" pivotButton="0" quotePrefix="0" xfId="0"/>
    <xf numFmtId="0" fontId="0" fillId="4" borderId="6" pivotButton="0" quotePrefix="0" xfId="0"/>
    <xf numFmtId="0" fontId="12" fillId="4" borderId="12" applyAlignment="1" pivotButton="0" quotePrefix="0" xfId="0">
      <alignment vertical="bottom" indent="1"/>
    </xf>
    <xf numFmtId="0" fontId="12" fillId="4" borderId="15" applyAlignment="1" pivotButton="0" quotePrefix="0" xfId="0">
      <alignment vertical="bottom" indent="1"/>
    </xf>
    <xf numFmtId="0" fontId="12" fillId="4" borderId="18" applyAlignment="1" pivotButton="0" quotePrefix="0" xfId="0">
      <alignment vertical="bottom" indent="1"/>
    </xf>
    <xf numFmtId="3" fontId="27" fillId="4" borderId="7" applyAlignment="1" pivotButton="0" quotePrefix="0" xfId="0">
      <alignment horizontal="left" vertical="center" indent="1"/>
    </xf>
    <xf numFmtId="0" fontId="0" fillId="4" borderId="8" pivotButton="0" quotePrefix="0" xfId="0"/>
    <xf numFmtId="0" fontId="0" fillId="4" borderId="9" pivotButton="0" quotePrefix="0" xfId="0"/>
    <xf numFmtId="3" fontId="29" fillId="4" borderId="13" applyAlignment="1" pivotButton="0" quotePrefix="0" xfId="0">
      <alignment horizontal="left" vertical="center" indent="1"/>
    </xf>
    <xf numFmtId="3" fontId="30" fillId="4" borderId="16" applyAlignment="1" pivotButton="0" quotePrefix="0" xfId="0">
      <alignment horizontal="left" vertical="center" indent="1"/>
    </xf>
    <xf numFmtId="9" fontId="31" fillId="4" borderId="19" applyAlignment="1" pivotButton="0" quotePrefix="0" xfId="0">
      <alignment horizontal="left" vertical="center" indent="1"/>
    </xf>
    <xf numFmtId="0" fontId="28" fillId="4" borderId="10" applyAlignment="1" pivotButton="0" quotePrefix="0" xfId="0">
      <alignment vertical="top" indent="1"/>
    </xf>
    <xf numFmtId="0" fontId="0" fillId="4" borderId="11" pivotButton="0" quotePrefix="0" xfId="0"/>
    <xf numFmtId="0" fontId="28" fillId="4" borderId="14" applyAlignment="1" pivotButton="0" quotePrefix="0" xfId="0">
      <alignment vertical="top" indent="1"/>
    </xf>
    <xf numFmtId="0" fontId="28" fillId="4" borderId="17" applyAlignment="1" pivotButton="0" quotePrefix="0" xfId="0">
      <alignment vertical="top" indent="1"/>
    </xf>
    <xf numFmtId="0" fontId="28" fillId="4" borderId="20" applyAlignment="1" pivotButton="0" quotePrefix="0" xfId="0">
      <alignment vertical="top" indent="1"/>
    </xf>
    <xf numFmtId="0" fontId="14" fillId="0" borderId="0" pivotButton="0" quotePrefix="0" xfId="0"/>
    <xf numFmtId="0" fontId="15" fillId="7" borderId="3" applyAlignment="1" pivotButton="0" quotePrefix="0" xfId="0">
      <alignment horizontal="center" vertical="center" wrapText="1"/>
    </xf>
    <xf numFmtId="0" fontId="0" fillId="0" borderId="23" pivotButton="0" quotePrefix="0" xfId="0"/>
    <xf numFmtId="0" fontId="5" fillId="0" borderId="3" pivotButton="0" quotePrefix="0" xfId="0"/>
    <xf numFmtId="0" fontId="5" fillId="6" borderId="3" applyAlignment="1" pivotButton="0" quotePrefix="0" xfId="0">
      <alignment horizontal="center"/>
    </xf>
    <xf numFmtId="0" fontId="0" fillId="0" borderId="3" pivotButton="0" quotePrefix="0" xfId="0"/>
    <xf numFmtId="3" fontId="6" fillId="6" borderId="3" applyAlignment="1" pivotButton="0" quotePrefix="0" xfId="0">
      <alignment horizontal="center"/>
    </xf>
    <xf numFmtId="0" fontId="15" fillId="7" borderId="3" applyAlignment="1" pivotButton="0" quotePrefix="0" xfId="0">
      <alignment horizontal="center" vertical="center"/>
    </xf>
    <xf numFmtId="0" fontId="5" fillId="6" borderId="3" applyAlignment="1" pivotButton="0" quotePrefix="0" xfId="0">
      <alignment horizontal="left" vertical="center"/>
    </xf>
    <xf numFmtId="0" fontId="5" fillId="6" borderId="3" applyAlignment="1" pivotButton="0" quotePrefix="0" xfId="0">
      <alignment horizontal="center" vertical="center"/>
    </xf>
    <xf numFmtId="164" fontId="5" fillId="6" borderId="3" applyAlignment="1" pivotButton="0" quotePrefix="0" xfId="0">
      <alignment horizontal="center" vertical="center"/>
    </xf>
    <xf numFmtId="0" fontId="20" fillId="3" borderId="0" applyAlignment="1" pivotButton="0" quotePrefix="0" xfId="0">
      <alignment horizontal="center" vertical="center"/>
    </xf>
    <xf numFmtId="0" fontId="5" fillId="4" borderId="3" applyAlignment="1" pivotButton="0" quotePrefix="0" xfId="0">
      <alignment horizontal="center" vertical="center"/>
    </xf>
    <xf numFmtId="0" fontId="5" fillId="4" borderId="3" applyAlignment="1" pivotButton="0" quotePrefix="0" xfId="0">
      <alignment vertical="center" wrapText="1"/>
    </xf>
    <xf numFmtId="1" fontId="5" fillId="4" borderId="3" applyAlignment="1" pivotButton="0" quotePrefix="0" xfId="0">
      <alignment horizontal="center" vertical="center"/>
    </xf>
    <xf numFmtId="1" fontId="24" fillId="6" borderId="3" applyAlignment="1" pivotButton="0" quotePrefix="0" xfId="0">
      <alignment horizontal="center" vertical="center"/>
    </xf>
    <xf numFmtId="0" fontId="24" fillId="6" borderId="3" applyAlignment="1" pivotButton="0" quotePrefix="0" xfId="0">
      <alignment horizontal="center" vertical="center"/>
    </xf>
    <xf numFmtId="164" fontId="5" fillId="4" borderId="3" applyAlignment="1" pivotButton="0" quotePrefix="0" xfId="0">
      <alignment horizontal="center" vertical="center"/>
    </xf>
    <xf numFmtId="4" fontId="5" fillId="4" borderId="3" applyAlignment="1" pivotButton="0" quotePrefix="0" xfId="0">
      <alignment vertical="center"/>
    </xf>
    <xf numFmtId="165" fontId="24" fillId="6" borderId="3" applyAlignment="1" pivotButton="0" quotePrefix="0" xfId="0">
      <alignment horizontal="center" vertical="center"/>
    </xf>
    <xf numFmtId="0" fontId="24" fillId="6" borderId="3" applyAlignment="1" pivotButton="0" quotePrefix="0" xfId="0">
      <alignment horizontal="center" vertical="center" wrapText="1"/>
    </xf>
    <xf numFmtId="0" fontId="24" fillId="6" borderId="3" applyAlignment="1" pivotButton="0" quotePrefix="0" xfId="0">
      <alignment vertical="center"/>
    </xf>
    <xf numFmtId="0" fontId="10" fillId="0" borderId="0" applyAlignment="1" pivotButton="0" quotePrefix="0" xfId="0">
      <alignment horizontal="right"/>
    </xf>
    <xf numFmtId="0" fontId="10" fillId="4" borderId="3" pivotButton="0" quotePrefix="0" xfId="0"/>
    <xf numFmtId="0" fontId="8" fillId="0" borderId="0" applyAlignment="1" pivotButton="0" quotePrefix="0" xfId="0">
      <alignment horizontal="right"/>
    </xf>
    <xf numFmtId="0" fontId="25" fillId="0" borderId="0" applyAlignment="1" pivotButton="0" quotePrefix="0" xfId="0">
      <alignment horizontal="center"/>
    </xf>
    <xf numFmtId="4" fontId="25" fillId="0" borderId="0" applyAlignment="1" pivotButton="0" quotePrefix="0" xfId="0">
      <alignment horizontal="right"/>
    </xf>
    <xf numFmtId="0" fontId="5" fillId="6" borderId="3" applyAlignment="1" pivotButton="0" quotePrefix="0" xfId="0">
      <alignment horizontal="center" vertical="center"/>
    </xf>
    <xf numFmtId="0" fontId="5" fillId="6" borderId="3" applyAlignment="1" pivotButton="0" quotePrefix="0" xfId="0">
      <alignment vertical="center"/>
    </xf>
    <xf numFmtId="0" fontId="5" fillId="6" borderId="3" applyAlignment="1" pivotButton="0" quotePrefix="0" xfId="0">
      <alignment vertical="center" wrapText="1"/>
    </xf>
    <xf numFmtId="164" fontId="5" fillId="6" borderId="3" applyAlignment="1" pivotButton="0" quotePrefix="0" xfId="0">
      <alignment horizontal="center" vertical="center"/>
    </xf>
    <xf numFmtId="4" fontId="5" fillId="6" borderId="3" applyAlignment="1" pivotButton="0" quotePrefix="0" xfId="0">
      <alignment vertical="center"/>
    </xf>
    <xf numFmtId="166" fontId="25" fillId="0" borderId="3" applyAlignment="1" pivotButton="0" quotePrefix="0" xfId="0">
      <alignment horizontal="center" vertical="center"/>
    </xf>
    <xf numFmtId="0" fontId="10" fillId="5" borderId="3" applyAlignment="1" pivotButton="0" quotePrefix="0" xfId="0">
      <alignment horizontal="center" vertical="center"/>
    </xf>
    <xf numFmtId="0" fontId="10" fillId="0" borderId="3" applyAlignment="1" pivotButton="0" quotePrefix="0" xfId="0">
      <alignment horizontal="center"/>
    </xf>
    <xf numFmtId="0" fontId="10" fillId="5" borderId="3" applyAlignment="1" pivotButton="0" quotePrefix="0" xfId="0">
      <alignment horizontal="center"/>
    </xf>
    <xf numFmtId="0" fontId="26" fillId="11" borderId="3" applyAlignment="1" pivotButton="0" quotePrefix="0" xfId="0">
      <alignment horizontal="center"/>
    </xf>
    <xf numFmtId="0" fontId="7" fillId="0" borderId="0" pivotButton="0" quotePrefix="0" xfId="0"/>
    <xf numFmtId="0" fontId="26" fillId="12" borderId="3" applyAlignment="1" pivotButton="0" quotePrefix="0" xfId="0">
      <alignment horizontal="center"/>
    </xf>
    <xf numFmtId="0" fontId="26" fillId="13" borderId="3" applyAlignment="1" pivotButton="0" quotePrefix="0" xfId="0">
      <alignment horizontal="center"/>
    </xf>
    <xf numFmtId="0" fontId="14" fillId="0" borderId="0" applyAlignment="1" pivotButton="0" quotePrefix="0" xfId="0">
      <alignment vertical="top" wrapText="1"/>
    </xf>
    <xf numFmtId="0" fontId="6" fillId="0" borderId="0" pivotButton="0" quotePrefix="0" xfId="0"/>
    <xf numFmtId="167" fontId="5" fillId="6" borderId="3" applyAlignment="1" pivotButton="0" quotePrefix="0" xfId="0">
      <alignment horizontal="center" vertical="center"/>
    </xf>
    <xf numFmtId="0" fontId="16" fillId="4" borderId="3" applyAlignment="1" pivotButton="0" quotePrefix="0" xfId="0">
      <alignment horizontal="center" vertical="center" wrapText="1"/>
    </xf>
    <xf numFmtId="0" fontId="6" fillId="4" borderId="3" applyAlignment="1" pivotButton="0" quotePrefix="0" xfId="0">
      <alignment vertical="center" wrapText="1"/>
    </xf>
    <xf numFmtId="0" fontId="17" fillId="4" borderId="3" applyAlignment="1" pivotButton="0" quotePrefix="0" xfId="0">
      <alignment vertical="center" wrapText="1"/>
    </xf>
    <xf numFmtId="0" fontId="16" fillId="5" borderId="3" applyAlignment="1" pivotButton="0" quotePrefix="0" xfId="0">
      <alignment horizontal="center" vertical="center" wrapText="1"/>
    </xf>
    <xf numFmtId="0" fontId="6" fillId="5" borderId="3" applyAlignment="1" pivotButton="0" quotePrefix="0" xfId="0">
      <alignment vertical="center" wrapText="1"/>
    </xf>
    <xf numFmtId="0" fontId="17" fillId="5" borderId="3" applyAlignment="1" pivotButton="0" quotePrefix="0" xfId="0">
      <alignment vertical="center" wrapText="1"/>
    </xf>
    <xf numFmtId="0" fontId="18" fillId="4" borderId="3" applyAlignment="1" pivotButton="0" quotePrefix="0" xfId="0">
      <alignment horizontal="center" vertical="center" wrapText="1"/>
    </xf>
    <xf numFmtId="0" fontId="18" fillId="5" borderId="3" applyAlignment="1" pivotButton="0" quotePrefix="0" xfId="0">
      <alignment horizontal="center" vertical="center" wrapText="1"/>
    </xf>
    <xf numFmtId="0" fontId="19" fillId="4" borderId="3" applyAlignment="1" pivotButton="0" quotePrefix="0" xfId="0">
      <alignment horizontal="center" vertical="center" wrapText="1"/>
    </xf>
    <xf numFmtId="0" fontId="19" fillId="5" borderId="3" applyAlignment="1" pivotButton="0" quotePrefix="0" xfId="0">
      <alignment horizontal="center" vertical="center" wrapText="1"/>
    </xf>
    <xf numFmtId="0" fontId="20" fillId="3" borderId="0" applyAlignment="1" pivotButton="0" quotePrefix="0" xfId="0">
      <alignment horizontal="center"/>
    </xf>
    <xf numFmtId="0" fontId="5" fillId="0" borderId="0" pivotButton="0" quotePrefix="0" xfId="0"/>
    <xf numFmtId="0" fontId="21" fillId="8" borderId="0" applyAlignment="1" pivotButton="0" quotePrefix="0" xfId="0">
      <alignment horizontal="center"/>
    </xf>
    <xf numFmtId="0" fontId="22" fillId="9" borderId="0" applyAlignment="1" pivotButton="0" quotePrefix="0" xfId="0">
      <alignment horizontal="center"/>
    </xf>
    <xf numFmtId="0" fontId="23" fillId="10" borderId="0" applyAlignment="1" pivotButton="0" quotePrefix="0" xfId="0">
      <alignment horizontal="center"/>
    </xf>
    <xf numFmtId="0" fontId="10" fillId="0" borderId="0" pivotButton="0" quotePrefix="0" xfId="0"/>
    <xf numFmtId="0" fontId="5" fillId="4" borderId="3" applyAlignment="1" pivotButton="0" quotePrefix="0" xfId="0">
      <alignment horizontal="center" vertical="center" wrapText="1"/>
    </xf>
    <xf numFmtId="0" fontId="11" fillId="4" borderId="3" applyAlignment="1" pivotButton="0" quotePrefix="0" xfId="0">
      <alignment horizontal="center"/>
    </xf>
    <xf numFmtId="164" fontId="5" fillId="4" borderId="3" applyAlignment="1" pivotButton="0" quotePrefix="0" xfId="0">
      <alignment horizontal="center" vertical="center" wrapText="1"/>
    </xf>
    <xf numFmtId="0" fontId="5" fillId="4" borderId="3" applyAlignment="1" pivotButton="0" quotePrefix="0" xfId="0">
      <alignment horizontal="center"/>
    </xf>
    <xf numFmtId="0" fontId="5" fillId="4" borderId="3" pivotButton="0" quotePrefix="0" xfId="0"/>
    <xf numFmtId="0" fontId="12" fillId="0" borderId="0" pivotButton="0" quotePrefix="0" xfId="0"/>
    <xf numFmtId="0" fontId="13" fillId="0" borderId="0" pivotButton="0" quotePrefix="0" xfId="0"/>
    <xf numFmtId="164" fontId="13" fillId="6" borderId="3" applyAlignment="1" pivotButton="0" quotePrefix="0" xfId="0">
      <alignment horizontal="center"/>
    </xf>
    <xf numFmtId="0" fontId="0" fillId="14" borderId="0" pivotButton="0" quotePrefix="0" xfId="0"/>
    <xf numFmtId="0" fontId="32" fillId="15" borderId="0" applyAlignment="1" pivotButton="0" quotePrefix="0" xfId="0">
      <alignment vertical="bottom" indent="1"/>
    </xf>
    <xf numFmtId="0" fontId="0" fillId="15" borderId="0" pivotButton="0" quotePrefix="0" xfId="0"/>
    <xf numFmtId="0" fontId="33" fillId="15" borderId="0" applyAlignment="1" pivotButton="0" quotePrefix="0" xfId="0">
      <alignment indent="1"/>
    </xf>
    <xf numFmtId="0" fontId="34" fillId="15" borderId="0" applyAlignment="1" pivotButton="0" quotePrefix="0" xfId="0">
      <alignment vertical="top" wrapText="1" indent="1"/>
    </xf>
    <xf numFmtId="0" fontId="3" fillId="14" borderId="24" pivotButton="0" quotePrefix="0" xfId="0"/>
    <xf numFmtId="0" fontId="0" fillId="14" borderId="24" pivotButton="0" quotePrefix="0" xfId="0"/>
    <xf numFmtId="0" fontId="35" fillId="14" borderId="0" applyAlignment="1" pivotButton="0" quotePrefix="0" xfId="0">
      <alignment vertical="center" wrapText="1"/>
    </xf>
    <xf numFmtId="0" fontId="17" fillId="14" borderId="0" applyAlignment="1" pivotButton="0" quotePrefix="0" xfId="0">
      <alignment vertical="center" wrapText="1"/>
    </xf>
    <xf numFmtId="0" fontId="15" fillId="14" borderId="8" applyAlignment="1" pivotButton="0" quotePrefix="0" xfId="0">
      <alignment vertical="center" wrapText="1" indent="1"/>
    </xf>
    <xf numFmtId="0" fontId="15" fillId="7" borderId="3" applyAlignment="1" pivotButton="0" quotePrefix="0" xfId="0">
      <alignment vertical="center" wrapText="1" indent="1"/>
    </xf>
    <xf numFmtId="0" fontId="15" fillId="16" borderId="3" applyAlignment="1" pivotButton="0" quotePrefix="0" xfId="0">
      <alignment vertical="center" wrapText="1" indent="1"/>
    </xf>
    <xf numFmtId="0" fontId="6" fillId="4" borderId="3" applyAlignment="1" pivotButton="0" quotePrefix="0" xfId="0">
      <alignment vertical="center" wrapText="1" indent="1"/>
    </xf>
    <xf numFmtId="0" fontId="17" fillId="4" borderId="3" applyAlignment="1" pivotButton="0" quotePrefix="0" xfId="0">
      <alignment vertical="center" wrapText="1" indent="1"/>
    </xf>
    <xf numFmtId="0" fontId="17" fillId="17" borderId="3" applyAlignment="1" pivotButton="0" quotePrefix="0" xfId="0">
      <alignment vertical="center" wrapText="1" indent="1"/>
    </xf>
    <xf numFmtId="0" fontId="36" fillId="6" borderId="3" applyAlignment="1" pivotButton="0" quotePrefix="0" xfId="0">
      <alignment horizontal="center" vertical="center" wrapText="1" indent="1"/>
    </xf>
    <xf numFmtId="0" fontId="37" fillId="17" borderId="27" applyAlignment="1" pivotButton="0" quotePrefix="0" xfId="0">
      <alignment horizontal="center" vertical="center"/>
    </xf>
    <xf numFmtId="0" fontId="0" fillId="0" borderId="30" pivotButton="0" quotePrefix="0" xfId="0"/>
    <xf numFmtId="0" fontId="38" fillId="14" borderId="0" applyAlignment="1" pivotButton="0" quotePrefix="0" xfId="0">
      <alignment horizontal="center" vertical="center"/>
    </xf>
    <xf numFmtId="0" fontId="39" fillId="14" borderId="0" applyAlignment="1" pivotButton="0" quotePrefix="0" xfId="0">
      <alignment horizontal="center" vertical="center"/>
    </xf>
    <xf numFmtId="0" fontId="8" fillId="14" borderId="0" applyAlignment="1" pivotButton="0" quotePrefix="0" xfId="0">
      <alignment vertical="top" wrapText="1"/>
    </xf>
  </cellXfs>
  <cellStyles count="1">
    <cellStyle name="Normal" xfId="0" builtinId="0" hidden="0"/>
  </cellStyles>
  <dxfs count="20">
    <dxf>
      <font>
        <b val="1"/>
        <color rgb="FFB91C1C"/>
      </font>
      <fill>
        <patternFill patternType="solid">
          <fgColor rgb="FFFEE2E2"/>
          <bgColor rgb="FFFEE2E2"/>
        </patternFill>
      </fill>
    </dxf>
    <dxf>
      <font>
        <b val="1"/>
        <color rgb="FFC2410C"/>
      </font>
      <fill>
        <patternFill patternType="solid">
          <fgColor rgb="FFFFEDD5"/>
          <bgColor rgb="FFFFEDD5"/>
        </patternFill>
      </fill>
    </dxf>
    <dxf>
      <font>
        <color rgb="FF92400E"/>
      </font>
      <fill>
        <patternFill patternType="solid">
          <fgColor rgb="FFFEF3C7"/>
          <bgColor rgb="FFFEF3C7"/>
        </patternFill>
      </fill>
    </dxf>
    <dxf>
      <font>
        <color rgb="FF166534"/>
      </font>
      <fill>
        <patternFill patternType="solid">
          <fgColor rgb="FFDCFCE7"/>
          <bgColor rgb="FFDCFCE7"/>
        </patternFill>
      </fill>
    </dxf>
    <dxf>
      <font>
        <color rgb="FF475569"/>
      </font>
      <fill>
        <patternFill patternType="solid">
          <fgColor rgb="FFF1F5F9"/>
          <bgColor rgb="FFF1F5F9"/>
        </patternFill>
      </fill>
    </dxf>
    <dxf>
      <font>
        <color rgb="FFC2410C"/>
      </font>
      <fill>
        <patternFill patternType="solid">
          <fgColor rgb="FFFFEDD5"/>
          <bgColor rgb="FFFFEDD5"/>
        </patternFill>
      </fill>
    </dxf>
    <dxf>
      <font>
        <b val="1"/>
        <color rgb="FF92400E"/>
      </font>
      <fill>
        <patternFill patternType="solid">
          <fgColor rgb="FFFEF3C7"/>
          <bgColor rgb="FFFEF3C7"/>
        </patternFill>
      </fill>
    </dxf>
    <dxf>
      <font>
        <b val="1"/>
        <color rgb="FF1D4ED8"/>
      </font>
      <fill>
        <patternFill patternType="solid">
          <fgColor rgb="FFDBEAFE"/>
          <bgColor rgb="FFDBEAFE"/>
        </patternFill>
      </fill>
    </dxf>
    <dxf>
      <font>
        <color rgb="FF1D4ED8"/>
      </font>
      <fill>
        <patternFill patternType="solid">
          <fgColor rgb="FFDBEAFE"/>
          <bgColor rgb="FFDBEAFE"/>
        </patternFill>
      </fill>
    </dxf>
    <dxf>
      <numFmt numFmtId="190" formatCode="#,##0&quot; DH&quot;"/>
    </dxf>
    <dxf>
      <numFmt numFmtId="191" formatCode="#,##0&quot; €&quot;"/>
    </dxf>
    <dxf>
      <numFmt numFmtId="192" formatCode="&quot;$&quot;#,##0"/>
    </dxf>
    <dxf>
      <font>
        <b val="1"/>
        <color rgb="FF166534"/>
      </font>
    </dxf>
    <dxf>
      <numFmt numFmtId="180" formatCode="#,##0.00&quot; DH&quot;"/>
    </dxf>
    <dxf>
      <numFmt numFmtId="181" formatCode="#,##0.00&quot; €&quot;"/>
    </dxf>
    <dxf>
      <numFmt numFmtId="182" formatCode="&quot;$&quot;#,##0.00"/>
    </dxf>
    <dxf>
      <font>
        <b val="1"/>
        <color rgb="FFB91C1C"/>
      </font>
    </dxf>
    <dxf>
      <fill>
        <patternFill patternType="solid">
          <fgColor rgb="FFFCA5A5"/>
          <bgColor rgb="FFFCA5A5"/>
        </patternFill>
      </fill>
    </dxf>
    <dxf>
      <fill>
        <patternFill patternType="solid">
          <fgColor rgb="FFFED7AA"/>
          <bgColor rgb="FFFED7AA"/>
        </patternFill>
      </fill>
    </dxf>
    <dxf>
      <fill>
        <patternFill patternType="solid">
          <fgColor rgb="FFBBF7D0"/>
          <bgColor rgb="FFBBF7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Modes par criticité, avant et après actions</a:t>
            </a:r>
          </a:p>
        </rich>
      </tx>
    </title>
    <plotArea>
      <barChart>
        <barDir val="col"/>
        <grouping val="clustered"/>
        <ser>
          <idx val="0"/>
          <order val="0"/>
          <tx>
            <strRef>
              <f>'Tableau de bord'!D12</f>
            </strRef>
          </tx>
          <spPr>
            <a:solidFill xmlns:a="http://schemas.openxmlformats.org/drawingml/2006/main">
              <a:srgbClr val="CBD5E1"/>
            </a:solidFill>
            <a:ln xmlns:a="http://schemas.openxmlformats.org/drawingml/2006/main">
              <a:solidFill>
                <a:srgbClr val="CBD5E1"/>
              </a:solidFill>
              <a:prstDash val="solid"/>
            </a:ln>
          </spPr>
          <cat>
            <numRef>
              <f>'Tableau de bord'!$B$13:$B$16</f>
            </numRef>
          </cat>
          <val>
            <numRef>
              <f>'Tableau de bord'!$D$13:$D$16</f>
            </numRef>
          </val>
        </ser>
        <ser>
          <idx val="1"/>
          <order val="1"/>
          <tx>
            <strRef>
              <f>'Tableau de bord'!E12</f>
            </strRef>
          </tx>
          <spPr>
            <a:solidFill xmlns:a="http://schemas.openxmlformats.org/drawingml/2006/main">
              <a:srgbClr val="B91C1C"/>
            </a:solidFill>
            <a:ln xmlns:a="http://schemas.openxmlformats.org/drawingml/2006/main">
              <a:solidFill>
                <a:srgbClr val="B91C1C"/>
              </a:solidFill>
              <a:prstDash val="solid"/>
            </a:ln>
          </spPr>
          <cat>
            <numRef>
              <f>'Tableau de bord'!$B$13:$B$16</f>
            </numRef>
          </cat>
          <val>
            <numRef>
              <f>'Tableau de bord'!$E$13:$E$16</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Actions par état de suivi</a:t>
            </a:r>
          </a:p>
        </rich>
      </tx>
    </title>
    <plotArea>
      <barChart>
        <barDir val="bar"/>
        <grouping val="clustered"/>
        <ser>
          <idx val="0"/>
          <order val="0"/>
          <tx>
            <strRef>
              <f>'Tableau de bord'!D28</f>
            </strRef>
          </tx>
          <spPr>
            <a:solidFill xmlns:a="http://schemas.openxmlformats.org/drawingml/2006/main">
              <a:srgbClr val="B91C1C"/>
            </a:solidFill>
            <a:ln xmlns:a="http://schemas.openxmlformats.org/drawingml/2006/main">
              <a:solidFill>
                <a:srgbClr val="B91C1C"/>
              </a:solidFill>
              <a:prstDash val="solid"/>
            </a:ln>
          </spPr>
          <cat>
            <numRef>
              <f>'Tableau de bord'!$B$29:$B$35</f>
            </numRef>
          </cat>
          <val>
            <numRef>
              <f>'Tableau de bord'!$D$29:$D$35</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Pareto des 20 premiers IPR</a:t>
            </a:r>
          </a:p>
        </rich>
      </tx>
    </title>
    <plotArea>
      <barChart>
        <barDir val="col"/>
        <grouping val="clustered"/>
        <ser>
          <idx val="0"/>
          <order val="0"/>
          <tx>
            <strRef>
              <f>'Pareto des IPR'!H6</f>
            </strRef>
          </tx>
          <spPr>
            <a:solidFill xmlns:a="http://schemas.openxmlformats.org/drawingml/2006/main">
              <a:srgbClr val="B91C1C"/>
            </a:solidFill>
            <a:ln xmlns:a="http://schemas.openxmlformats.org/drawingml/2006/main">
              <a:solidFill>
                <a:srgbClr val="B91C1C"/>
              </a:solidFill>
              <a:prstDash val="solid"/>
            </a:ln>
          </spPr>
          <cat>
            <numRef>
              <f>'Pareto des IPR'!$B$7:$B$26</f>
            </numRef>
          </cat>
          <val>
            <numRef>
              <f>'Pareto des IPR'!$H$7:$H$26</f>
            </numRef>
          </val>
        </ser>
        <gapWidth val="50"/>
        <axId val="10"/>
        <axId val="100"/>
      </barChart>
      <lineChart>
        <grouping val="standard"/>
        <ser>
          <idx val="1"/>
          <order val="1"/>
          <tx>
            <strRef>
              <f>'Pareto des IPR'!K6</f>
            </strRef>
          </tx>
          <spPr>
            <a:ln xmlns:a="http://schemas.openxmlformats.org/drawingml/2006/main" w="22000">
              <a:solidFill>
                <a:srgbClr val="1E293B"/>
              </a:solidFill>
              <a:prstDash val="solid"/>
            </a:ln>
          </spPr>
          <marker>
            <symbol val="none"/>
            <spPr>
              <a:ln xmlns:a="http://schemas.openxmlformats.org/drawingml/2006/main">
                <a:prstDash val="solid"/>
              </a:ln>
            </spPr>
          </marker>
          <val>
            <numRef>
              <f>'Pareto des IPR'!$K$7:$K$26</f>
            </numRef>
          </val>
          <smooth val="0"/>
        </ser>
        <axId val="10"/>
        <axId val="200"/>
      </lineChart>
      <catAx>
        <axId val="10"/>
        <scaling>
          <orientation val="minMax"/>
        </scaling>
        <delete val="0"/>
        <axPos val="l"/>
        <majorTickMark val="none"/>
        <minorTickMark val="none"/>
        <crossAx val="100"/>
        <lblOffset val="100"/>
      </catAx>
      <valAx>
        <axId val="100"/>
        <scaling>
          <orientation val="minMax"/>
        </scaling>
        <delete val="0"/>
        <axPos val="l"/>
        <title>
          <tx>
            <rich>
              <a:bodyPr xmlns:a="http://schemas.openxmlformats.org/drawingml/2006/main"/>
              <a:p xmlns:a="http://schemas.openxmlformats.org/drawingml/2006/main">
                <a:pPr>
                  <a:defRPr/>
                </a:pPr>
                <a:r>
                  <a:t>IPR</a:t>
                </a:r>
              </a:p>
            </rich>
          </tx>
        </title>
        <numFmt formatCode="0" sourceLinked="0"/>
        <majorTickMark val="none"/>
        <minorTickMark val="none"/>
        <crossAx val="10"/>
      </valAx>
      <valAx>
        <axId val="200"/>
        <scaling>
          <orientation val="minMax"/>
          <max val="1"/>
          <min val="0"/>
        </scaling>
        <delete val="0"/>
        <axPos val="l"/>
        <title>
          <tx>
            <rich>
              <a:bodyPr xmlns:a="http://schemas.openxmlformats.org/drawingml/2006/main"/>
              <a:p xmlns:a="http://schemas.openxmlformats.org/drawingml/2006/main">
                <a:pPr>
                  <a:defRPr/>
                </a:pPr>
                <a:r>
                  <a:t>% cumulé</a:t>
                </a:r>
              </a:p>
            </rich>
          </tx>
        </title>
        <numFmt formatCode="0%" sourceLinked="0"/>
        <majorTickMark val="none"/>
        <minorTickMark val="none"/>
        <crossAx val="10"/>
        <crosses val="max"/>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7</col>
      <colOff>0</colOff>
      <row>10</row>
      <rowOff>0</rowOff>
    </from>
    <ext cx="612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36</row>
      <rowOff>0</rowOff>
    </from>
    <ext cx="3780000" cy="23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0</col>
      <colOff>0</colOff>
      <row>28</row>
      <rowOff>0</rowOff>
    </from>
    <ext cx="864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drawing" Target="/xl/drawings/drawing2.xml" Id="rId1"/></Relationships>
</file>

<file path=xl/worksheets/_rels/sheet9.xml.rels><Relationships xmlns="http://schemas.openxmlformats.org/package/2006/relationships"><Relationship Type="http://schemas.openxmlformats.org/officeDocument/2006/relationships/hyperlink" Target="https://qualis-erp.com/register?utm_source=excel&amp;utm_medium=modele&amp;utm_campaign=amdec-excel" TargetMode="External" Id="rId1"/><Relationship Type="http://schemas.openxmlformats.org/officeDocument/2006/relationships/hyperlink" Target="https://qualis-erp.com/pricing?utm_source=excel&amp;utm_medium=modele&amp;utm_campaign=amdec-excel" TargetMode="External" Id="rId2"/><Relationship Type="http://schemas.openxmlformats.org/officeDocument/2006/relationships/hyperlink" Target="https://qualis-erp.com/?utm_source=excel&amp;utm_medium=modele&amp;utm_campaign=amdec-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3"/>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AMDEC</t>
        </is>
      </c>
      <c r="C1" s="1" t="n"/>
      <c r="D1" s="1" t="n"/>
      <c r="E1" s="1" t="n"/>
    </row>
    <row r="2" ht="22" customHeight="1">
      <c r="A2" s="3" t="n"/>
      <c r="B2" s="4" t="inlineStr">
        <is>
          <t>Mode d'emploi. Lisez cette page une fois, puis travaillez surtout dans la feuille « AMDEC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Les chiffres clés : modes critiques, actions ouvertes et en retard, réduction de l'IPR, actions à traiter.</t>
        </is>
      </c>
      <c r="D6" s="9" t="n"/>
    </row>
    <row r="7" ht="30" customHeight="1">
      <c r="B7" s="10" t="inlineStr">
        <is>
          <t>→ AMDEC</t>
        </is>
      </c>
      <c r="C7" s="11" t="inlineStr">
        <is>
          <t>Le tableau AMDEC. Une ligne par mode de défaillance : c'est la feuille que vous remplissez.</t>
        </is>
      </c>
      <c r="D7" s="12" t="n"/>
    </row>
    <row r="8" ht="20" customHeight="1">
      <c r="B8" s="7" t="inlineStr">
        <is>
          <t>→ Plan d'actions</t>
        </is>
      </c>
      <c r="C8" s="8" t="inlineStr">
        <is>
          <t>Les actions ouvertes triées par échéance, avec un filtre par responsable.</t>
        </is>
      </c>
      <c r="D8" s="9" t="n"/>
    </row>
    <row r="9" ht="20" customHeight="1">
      <c r="B9" s="10" t="inlineStr">
        <is>
          <t>→ Matrice G x O</t>
        </is>
      </c>
      <c r="C9" s="11" t="inlineStr">
        <is>
          <t>Le nombre de modes par gravité et occurrence, avant et après actions.</t>
        </is>
      </c>
      <c r="D9" s="12" t="n"/>
    </row>
    <row r="10" ht="20" customHeight="1">
      <c r="B10" s="7" t="inlineStr">
        <is>
          <t>→ Pareto des IPR</t>
        </is>
      </c>
      <c r="C10" s="8" t="inlineStr">
        <is>
          <t>Les 20 modes au plus fort IPR et leur part cumulée de l'IPR total.</t>
        </is>
      </c>
      <c r="D10" s="9" t="n"/>
    </row>
    <row r="11" ht="30" customHeight="1">
      <c r="B11" s="10" t="inlineStr">
        <is>
          <t>→ Cotation</t>
        </is>
      </c>
      <c r="C11" s="11" t="inlineStr">
        <is>
          <t>Les grilles de cotation de 1 à 10 pour la gravité, l'occurrence et la détection.</t>
        </is>
      </c>
      <c r="D11" s="12" t="n"/>
    </row>
    <row r="12" ht="30" customHeight="1">
      <c r="B12" s="7" t="inlineStr">
        <is>
          <t>→ Paramètres</t>
        </is>
      </c>
      <c r="C12" s="8" t="inlineStr">
        <is>
          <t>Entreprise, devise, date de référence, seuils de décision et liste des responsables.</t>
        </is>
      </c>
      <c r="D12" s="9" t="n"/>
    </row>
    <row r="15" ht="22" customHeight="1">
      <c r="B15" s="5" t="inlineStr">
        <is>
          <t>Démarrer en 5 étapes</t>
        </is>
      </c>
      <c r="C15" s="6" t="n"/>
      <c r="D15" s="6" t="n"/>
    </row>
    <row r="16" ht="46" customHeight="1">
      <c r="B16" s="13" t="inlineStr">
        <is>
          <t>1. Paramètres</t>
        </is>
      </c>
      <c r="C16" s="14" t="inlineStr">
        <is>
          <t>Nom de l'entreprise, devise (MAD, EUR ou USD) pour le coût des actions, périmètre de l'analyse (le processus ou le produit étudié), seuils de décision et liste des responsables. Laissez la date de référence vide pour suivre les échéances par rapport à aujourd'hui.</t>
        </is>
      </c>
    </row>
    <row r="17" ht="32" customHeight="1">
      <c r="B17" s="13" t="inlineStr">
        <is>
          <t>2. Lister les étapes</t>
        </is>
      </c>
      <c r="C17" s="14" t="inlineStr">
        <is>
          <t>Dans « AMDEC », décrivez le processus étape par étape (10 Réception, 20 Débit, 30 Pliage...) et, pour chaque étape, sa fonction : ce qu'elle doit produire, avec la tolérance.</t>
        </is>
      </c>
    </row>
    <row r="18" ht="32" customHeight="1">
      <c r="B18" s="13" t="inlineStr">
        <is>
          <t>3. Analyser chaque mode</t>
        </is>
      </c>
      <c r="C18" s="14" t="inlineStr">
        <is>
          <t>Pour chaque façon dont l'étape peut échouer : le mode de défaillance, son effet sur le client ou l'atelier, sa cause, le contrôle qui prévient la cause et celui qui détecte le défaut.</t>
        </is>
      </c>
    </row>
    <row r="19" ht="46" customHeight="1">
      <c r="B19" s="13" t="inlineStr">
        <is>
          <t>4. Coter G, O et D</t>
        </is>
      </c>
      <c r="C19" s="14" t="inlineStr">
        <is>
          <t>Notez la gravité de l'effet, l'occurrence de la cause et la détection, de 1 à 10, avec les grilles de la feuille « Cotation ». L'IPR et la criticité se calculent. Cotez en groupe (méthodes, qualité, production), pas seul.</t>
        </is>
      </c>
    </row>
    <row r="20" ht="46" customHeight="1">
      <c r="B20" s="13" t="inlineStr">
        <is>
          <t>5. Agir et réévaluer</t>
        </is>
      </c>
      <c r="C20" s="14" t="inlineStr">
        <is>
          <t>Pour chaque mode qui demande une action : action, responsable, échéance, statut. Une fois l'action réalisée, recotez G', O' et D' : l'IPR après action et le gain s'affichent, le tableau de bord suit la réduction du risque.</t>
        </is>
      </c>
    </row>
    <row r="22" ht="22" customHeight="1">
      <c r="B22" s="5" t="inlineStr">
        <is>
          <t>Comment le fichier décide</t>
        </is>
      </c>
      <c r="C22" s="6" t="n"/>
      <c r="D22" s="6" t="n"/>
    </row>
    <row r="23" ht="46" customHeight="1">
      <c r="B23" s="15" t="inlineStr">
        <is>
          <t>AMDEC</t>
        </is>
      </c>
      <c r="C23" s="14" t="inlineStr">
        <is>
          <t>Analyse des modes de défaillance, de leurs effets et de leur criticité (FMEA en anglais). On liste ce qui peut mal tourner à chaque étape, on cote le risque, on agit d'abord sur les risques les plus forts, puis on recote pour vérifier que l'action a servi.</t>
        </is>
      </c>
    </row>
    <row r="24" ht="32" customHeight="1">
      <c r="B24" s="15" t="inlineStr">
        <is>
          <t>IPR</t>
        </is>
      </c>
      <c r="C24" s="14" t="inlineStr">
        <is>
          <t>Indice de priorité du risque = Gravité x Occurrence x Détection, de 1 à 1 000. Il ne se calcule que si les trois notes sont des entiers de 1 à 10.</t>
        </is>
      </c>
    </row>
    <row r="25" ht="46" customHeight="1">
      <c r="B25" s="15" t="inlineStr">
        <is>
          <t>Criticité</t>
        </is>
      </c>
      <c r="C25" s="14" t="inlineStr">
        <is>
          <t>Critique : gravité égale ou supérieure au seuil de gravité (9 par défaut) quelle que soit la note, ou IPR égal ou supérieur au seuil critique (200). Élevée : IPR au seuil d'action (100) ou plus. Moyenne : IPR au seuil de surveillance (50) ou plus. Faible : en dessous.</t>
        </is>
      </c>
    </row>
    <row r="26" ht="32" customHeight="1">
      <c r="B26" s="15" t="inlineStr">
        <is>
          <t>Action requise</t>
        </is>
      </c>
      <c r="C26" s="14" t="inlineStr">
        <is>
          <t>Oui pour les modes Critiques et Élevés. La règle de gravité évite le piège classique de l'IPR : un mode à G = 9 avec O = 2 et D = 3 donne un IPR de 54, faible en apparence, alors qu'il touche à la sécurité.</t>
        </is>
      </c>
    </row>
    <row r="27" ht="46" customHeight="1">
      <c r="B27" s="15" t="inlineStr">
        <is>
          <t>Suivi de l'action</t>
        </is>
      </c>
      <c r="C27" s="14" t="inlineStr">
        <is>
          <t>En retard : échéance dépassée et action ni réalisée ni annulée. Échéance proche : échéance dans les jours d'alerte des Paramètres (7 par défaut). À réévaluer : action réalisée mais G', O', D' pas encore saisis. Action à définir : action requise mais colonne Action vide.</t>
        </is>
      </c>
    </row>
    <row r="28" ht="32" customHeight="1">
      <c r="B28" s="15" t="inlineStr">
        <is>
          <t>Gain</t>
        </is>
      </c>
      <c r="C28" s="14" t="inlineStr">
        <is>
          <t>Baisse de l'IPR après action, en pourcentage de l'IPR initial. La réduction affichée au tableau de bord compare l'IPR total avant et après sur les seuls modes réévalués.</t>
        </is>
      </c>
    </row>
    <row r="29" ht="60" customHeight="1">
      <c r="B29" s="15" t="inlineStr">
        <is>
          <t>Méthode AIAG-VDA</t>
        </is>
      </c>
      <c r="C29" s="14" t="inlineStr">
        <is>
          <t>Le manuel AIAG-VDA de 2019 remplace l'IPR par une priorité d'action H, M, L lue dans une table de 1 000 combinaisons publiée dans le manuel. Ce fichier ne la reproduit pas : il applique l'IPR avec la règle de gravité, la méthode la plus répandue dans les PME. Si votre client automobile impose l'AIAG-VDA, gardez ce tableau et ajoutez une colonne AP lue dans votre exemplaire du manuel.</t>
        </is>
      </c>
    </row>
    <row r="31" ht="22" customHeight="1">
      <c r="B31" s="5" t="inlineStr">
        <is>
          <t>Couleurs et contrôles</t>
        </is>
      </c>
      <c r="C31" s="6" t="n"/>
      <c r="D31" s="6" t="n"/>
    </row>
    <row r="32" ht="18" customHeight="1">
      <c r="B32" s="15" t="inlineStr">
        <is>
          <t>Cellules blanches</t>
        </is>
      </c>
      <c r="C32" s="14" t="inlineStr">
        <is>
          <t>À remplir par vous.</t>
        </is>
      </c>
    </row>
    <row r="33" ht="18" customHeight="1">
      <c r="B33" s="15" t="inlineStr">
        <is>
          <t>Cellules grises</t>
        </is>
      </c>
      <c r="C33" s="14" t="inlineStr">
        <is>
          <t>Calculées par une formule. Ne tapez pas dedans.</t>
        </is>
      </c>
    </row>
    <row r="34" ht="60" customHeight="1">
      <c r="B34" s="15" t="inlineStr">
        <is>
          <t>Colonne Contrôle</t>
        </is>
      </c>
      <c r="C34" s="14" t="inlineStr">
        <is>
          <t>Chaque ligne est vérifiée : mode de défaillance manquant, N° en double, G, O ou D manquant ou hors de 1 à 10, cause manquante, responsable manquant, statut sans action, date de réalisation manquante, coût invalide, cotation après action incomplète ou IPR après action plus élevé qu'avant. Une ligne correcte affiche OK.</t>
        </is>
      </c>
    </row>
    <row r="36" ht="22" customHeight="1">
      <c r="B36" s="5" t="inlineStr">
        <is>
          <t>Bonnes pratiques et limites</t>
        </is>
      </c>
      <c r="C36" s="6" t="n"/>
      <c r="D36" s="6" t="n"/>
    </row>
    <row r="37" ht="46" customHeight="1">
      <c r="B37" s="15" t="inlineStr">
        <is>
          <t>AMDEC produit</t>
        </is>
      </c>
      <c r="C37" s="14" t="inlineStr">
        <is>
          <t>Le même tableau sert à une AMDEC produit (ou conception) : remplacez l'étape par le composant ou la fonction du produit, les contrôles de prévention par les règles de conception et les contrôles de détection par les essais et calculs de validation.</t>
        </is>
      </c>
    </row>
    <row r="38" ht="32" customHeight="1">
      <c r="B38" s="15" t="inlineStr">
        <is>
          <t>Une cause par ligne</t>
        </is>
      </c>
      <c r="C38" s="14" t="inlineStr">
        <is>
          <t>Un mode qui a deux causes s'écrit sur deux lignes : l'occurrence et l'action ne sont pas les mêmes. Recopiez le mode et l'effet, changez la cause.</t>
        </is>
      </c>
    </row>
    <row r="39" ht="32" customHeight="1">
      <c r="B39" s="15" t="inlineStr">
        <is>
          <t>Ne comparez pas les IPR entre deux AMDEC</t>
        </is>
      </c>
      <c r="C39" s="14" t="inlineStr">
        <is>
          <t>Deux équipes ne cotent jamais tout à fait de la même façon. L'IPR classe les risques d'une même analyse, il ne mesure pas un risque absolu.</t>
        </is>
      </c>
    </row>
    <row r="40" ht="32" customHeight="1">
      <c r="B40" s="15" t="inlineStr">
        <is>
          <t>Capacité</t>
        </is>
      </c>
      <c r="C40" s="14" t="inlineStr">
        <is>
          <t>500 modes de défaillance, 30 responsables. Le plan d'actions liste 200 actions ouvertes, le Pareto les 20 premiers IPR, le tableau de bord les 10 actions les plus urgentes.</t>
        </is>
      </c>
    </row>
    <row r="41" ht="32" customHeight="1">
      <c r="B41" s="15" t="inlineStr">
        <is>
          <t>Compatibilité</t>
        </is>
      </c>
      <c r="C41" s="14" t="inlineStr">
        <is>
          <t>Excel 2010 et suivants (Windows, Mac), Excel en ligne, LibreOffice Calc et Google Sheets. Aucune macro, aucune feuille protégée.</t>
        </is>
      </c>
    </row>
    <row r="43">
      <c r="B43" s="16" t="inlineStr">
        <is>
          <t>Saisie</t>
        </is>
      </c>
      <c r="C43" s="17" t="inlineStr">
        <is>
          <t>Calcul auto</t>
        </is>
      </c>
    </row>
  </sheetData>
  <mergeCells count="27">
    <mergeCell ref="C34:D34"/>
    <mergeCell ref="C6:D6"/>
    <mergeCell ref="C24:D24"/>
    <mergeCell ref="C33:D33"/>
    <mergeCell ref="C26:D26"/>
    <mergeCell ref="C20:D20"/>
    <mergeCell ref="C29:D29"/>
    <mergeCell ref="C10:D10"/>
    <mergeCell ref="C16:D16"/>
    <mergeCell ref="C25:D25"/>
    <mergeCell ref="C41:D41"/>
    <mergeCell ref="C40:D40"/>
    <mergeCell ref="C9:D9"/>
    <mergeCell ref="C12:D12"/>
    <mergeCell ref="C11:D11"/>
    <mergeCell ref="C27:D27"/>
    <mergeCell ref="C23:D23"/>
    <mergeCell ref="C17:D17"/>
    <mergeCell ref="C39:D39"/>
    <mergeCell ref="C8:D8"/>
    <mergeCell ref="C32:D32"/>
    <mergeCell ref="C7:D7"/>
    <mergeCell ref="C38:D38"/>
    <mergeCell ref="C19:D19"/>
    <mergeCell ref="C37:D37"/>
    <mergeCell ref="C28:D28"/>
    <mergeCell ref="C18:D18"/>
  </mergeCells>
  <hyperlinks>
    <hyperlink ref="B6" location="'Tableau de bord'!A1"/>
    <hyperlink ref="B7" location="'AMDEC'!A1"/>
    <hyperlink ref="B8" location="'Plan d''actions'!A1"/>
    <hyperlink ref="B9" location="'Matrice G x O'!A1"/>
    <hyperlink ref="B10" location="'Pareto des IPR'!A1"/>
    <hyperlink ref="B11" location="'Cotation'!A1"/>
    <hyperlink ref="B12" location="'Paramètres'!A1"/>
    <hyperlink ref="B16" location="'Paramètres'!A1"/>
    <hyperlink ref="B17" location="'AMDEC'!A1"/>
    <hyperlink ref="B18" location="'AMDEC'!A1"/>
    <hyperlink ref="B19" location="'Cotation'!A1"/>
    <hyperlink ref="B20" location="'Plan d''actions'!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R39"/>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 hidden="1" width="6" customWidth="1" min="18" max="18"/>
  </cols>
  <sheetData>
    <row r="1" ht="38" customHeight="1">
      <c r="A1" s="1" t="n"/>
      <c r="B1" s="2" t="str">
        <f>"Tableau de bord AMDEC"&amp;IF(p_company&lt;&gt;""," : "&amp;p_company,"")</f>
        <v>Tableau de bord AMDEC</v>
      </c>
      <c r="C1" s="1" t="n"/>
      <c r="D1" s="1" t="n"/>
      <c r="E1" s="1" t="n"/>
      <c r="F1" s="1" t="n"/>
      <c r="G1" s="1" t="n"/>
      <c r="H1" s="1" t="n"/>
      <c r="I1" s="1" t="n"/>
      <c r="J1" s="1" t="n"/>
      <c r="K1" s="1" t="n"/>
      <c r="L1" s="1" t="n"/>
      <c r="M1" s="1" t="n"/>
      <c r="N1" s="1" t="n"/>
      <c r="O1" s="1" t="n"/>
      <c r="P1" s="18" t="inlineStr">
        <is>
          <t>⌂ Mode d'emploi</t>
        </is>
      </c>
    </row>
    <row r="2" ht="22" customHeight="1">
      <c r="A2" s="3" t="n"/>
      <c r="B2" s="4" t="str">
        <f>IF(p_scope&lt;&gt;"",p_scope,"Tout se calcule depuis la feuille « AMDEC ».")</f>
        <v>Tout se calcule depuis la feuille « AMDEC ».</v>
      </c>
      <c r="C2" s="3" t="n"/>
      <c r="D2" s="3" t="n"/>
      <c r="E2" s="3" t="n"/>
      <c r="F2" s="3" t="n"/>
      <c r="G2" s="3" t="n"/>
      <c r="H2" s="3" t="n"/>
      <c r="I2" s="3" t="n"/>
      <c r="J2" s="3" t="n"/>
      <c r="K2" s="3" t="n"/>
      <c r="L2" s="3" t="n"/>
      <c r="M2" s="3" t="n"/>
      <c r="N2" s="3" t="n"/>
      <c r="O2" s="3" t="n"/>
      <c r="P2" s="3" t="n"/>
    </row>
    <row r="3" ht="16" customHeight="1">
      <c r="N3" s="19" t="inlineStr">
        <is>
          <t>Situation au</t>
        </is>
      </c>
      <c r="P3" s="20">
        <f>p_today</f>
        <v>46331.0</v>
      </c>
    </row>
    <row r="5" ht="18" customHeight="1">
      <c r="B5" s="21" t="inlineStr">
        <is>
          <t>MODES ANALYSÉS</t>
        </is>
      </c>
      <c r="C5" s="22" t="n"/>
      <c r="D5" s="23" t="n"/>
      <c r="E5" s="24" t="inlineStr">
        <is>
          <t>MODES CRITIQUES</t>
        </is>
      </c>
      <c r="F5" s="22" t="n"/>
      <c r="G5" s="23" t="n"/>
      <c r="H5" s="25" t="inlineStr">
        <is>
          <t>ACTIONS OUVERTES</t>
        </is>
      </c>
      <c r="I5" s="22" t="n"/>
      <c r="J5" s="23" t="n"/>
      <c r="K5" s="24" t="inlineStr">
        <is>
          <t>ACTIONS EN RETARD</t>
        </is>
      </c>
      <c r="L5" s="22" t="n"/>
      <c r="M5" s="23" t="n"/>
      <c r="N5" s="26" t="inlineStr">
        <is>
          <t>RÉDUCTION DE L'IPR</t>
        </is>
      </c>
      <c r="O5" s="22" t="n"/>
      <c r="P5" s="23" t="n"/>
    </row>
    <row r="6" ht="32" customHeight="1">
      <c r="B6" s="27">
        <f>COUNT(am_ipr)</f>
        <v>0.0</v>
      </c>
      <c r="C6" s="28" t="n"/>
      <c r="D6" s="29" t="n"/>
      <c r="E6" s="30">
        <f>COUNTIF(am_ccrit,"Critique")</f>
        <v>0.0</v>
      </c>
      <c r="F6" s="28" t="n"/>
      <c r="G6" s="29" t="n"/>
      <c r="H6" s="31">
        <f>COUNTIF(am_suivi,"En retard")+COUNTIF(am_suivi,"Échéance proche")+COUNTIF(am_suivi,"Dans les délais")+COUNTIF(am_suivi,"Échéance manquante")+COUNTIF(am_suivi,"Action à définir")+COUNTIF(am_suivi,"À réévaluer")</f>
        <v>0.0</v>
      </c>
      <c r="I6" s="28" t="n"/>
      <c r="J6" s="29" t="n"/>
      <c r="K6" s="30">
        <f>COUNTIF(am_suivi,"En retard")</f>
        <v>0.0</v>
      </c>
      <c r="L6" s="28" t="n"/>
      <c r="M6" s="29" t="n"/>
      <c r="N6" s="32">
        <f>IF(SUMIFS(am_ipr,am_ipr2,"&gt;0")=0,0,1-SUM(am_ipr2)/SUMIFS(am_ipr,am_ipr2,"&gt;0"))</f>
        <v>0.0</v>
      </c>
      <c r="O6" s="28" t="n"/>
      <c r="P6" s="29" t="n"/>
    </row>
    <row r="7" ht="16" customHeight="1">
      <c r="B7" s="33" t="inlineStr">
        <is>
          <t>Modes cotés G, O et D</t>
        </is>
      </c>
      <c r="C7" s="9" t="n"/>
      <c r="D7" s="34" t="n"/>
      <c r="E7" s="35" t="inlineStr">
        <is>
          <t>Situation actuelle</t>
        </is>
      </c>
      <c r="F7" s="9" t="n"/>
      <c r="G7" s="34" t="n"/>
      <c r="H7" s="36" t="inlineStr">
        <is>
          <t>À définir, à faire ou à réévaluer</t>
        </is>
      </c>
      <c r="I7" s="9" t="n"/>
      <c r="J7" s="34" t="n"/>
      <c r="K7" s="35" t="inlineStr">
        <is>
          <t>Échéance dépassée</t>
        </is>
      </c>
      <c r="L7" s="9" t="n"/>
      <c r="M7" s="34" t="n"/>
      <c r="N7" s="37" t="inlineStr">
        <is>
          <t>Sur les modes réévalués</t>
        </is>
      </c>
      <c r="O7" s="9" t="n"/>
      <c r="P7" s="34" t="n"/>
    </row>
    <row r="9">
      <c r="B9" s="38" t="str">
        <f>IF(COUNTIF(am_check,"?*")-COUNTIF(am_check,"OK")&gt;0,COUNTIF(am_check,"?*")-COUNTIF(am_check,"OK")&amp;" ligne(s) signalée(s) dans la colonne Contrôle de la feuille AMDEC : filtrez-la pour les corriger.","Toutes les lignes saisies sont valides.")</f>
        <v>Toutes les lignes saisies sont valides.</v>
      </c>
    </row>
    <row r="11" ht="22" customHeight="1">
      <c r="B11" s="5" t="inlineStr">
        <is>
          <t>Criticité des modes, avant et après actions</t>
        </is>
      </c>
      <c r="C11" s="6" t="n"/>
      <c r="D11" s="6" t="n"/>
      <c r="E11" s="6" t="n"/>
      <c r="F11" s="6" t="n"/>
    </row>
    <row r="12" ht="30" customHeight="1">
      <c r="B12" s="39" t="inlineStr">
        <is>
          <t>Criticité</t>
        </is>
      </c>
      <c r="C12" s="40" t="n"/>
      <c r="D12" s="39" t="inlineStr">
        <is>
          <t>Avant actions</t>
        </is>
      </c>
      <c r="E12" s="39" t="inlineStr">
        <is>
          <t>Actuelle</t>
        </is>
      </c>
    </row>
    <row r="13">
      <c r="B13" s="41" t="inlineStr">
        <is>
          <t>Critique</t>
        </is>
      </c>
      <c r="C13" s="41" t="n"/>
      <c r="D13" s="42">
        <f>COUNTIF(am_crit,"Critique")</f>
        <v>0.0</v>
      </c>
      <c r="E13" s="42">
        <f>COUNTIF(am_ccrit,"Critique")</f>
        <v>0.0</v>
      </c>
    </row>
    <row r="14">
      <c r="B14" s="41" t="inlineStr">
        <is>
          <t>Élevée</t>
        </is>
      </c>
      <c r="C14" s="41" t="n"/>
      <c r="D14" s="42">
        <f>COUNTIF(am_crit,"Élevée")</f>
        <v>0.0</v>
      </c>
      <c r="E14" s="42">
        <f>COUNTIF(am_ccrit,"Élevée")</f>
        <v>0.0</v>
      </c>
    </row>
    <row r="15">
      <c r="B15" s="41" t="inlineStr">
        <is>
          <t>Moyenne</t>
        </is>
      </c>
      <c r="C15" s="41" t="n"/>
      <c r="D15" s="42">
        <f>COUNTIF(am_crit,"Moyenne")</f>
        <v>0.0</v>
      </c>
      <c r="E15" s="42">
        <f>COUNTIF(am_ccrit,"Moyenne")</f>
        <v>0.0</v>
      </c>
    </row>
    <row r="16">
      <c r="B16" s="41" t="inlineStr">
        <is>
          <t>Faible</t>
        </is>
      </c>
      <c r="C16" s="41" t="n"/>
      <c r="D16" s="42">
        <f>COUNTIF(am_crit,"Faible")</f>
        <v>0.0</v>
      </c>
      <c r="E16" s="42">
        <f>COUNTIF(am_ccrit,"Faible")</f>
        <v>0.0</v>
      </c>
    </row>
    <row r="18">
      <c r="B18" s="41" t="inlineStr">
        <is>
          <t>IPR total initial</t>
        </is>
      </c>
      <c r="C18" s="43" t="n"/>
      <c r="D18" s="43" t="n"/>
      <c r="E18" s="44">
        <f>SUM(am_ipr)</f>
        <v>0.0</v>
      </c>
      <c r="F18" s="43" t="n"/>
    </row>
    <row r="19">
      <c r="B19" s="41" t="inlineStr">
        <is>
          <t>IPR total actuel</t>
        </is>
      </c>
      <c r="C19" s="43" t="n"/>
      <c r="D19" s="43" t="n"/>
      <c r="E19" s="44">
        <f>SUM(am_cipr)</f>
        <v>0.0</v>
      </c>
      <c r="F19" s="43" t="n"/>
    </row>
    <row r="20">
      <c r="B20" s="41" t="inlineStr">
        <is>
          <t>Modes réévalués</t>
        </is>
      </c>
      <c r="C20" s="43" t="n"/>
      <c r="D20" s="43" t="n"/>
      <c r="E20" s="44">
        <f>COUNT(am_ipr2)</f>
        <v>0.0</v>
      </c>
      <c r="F20" s="43" t="n"/>
    </row>
    <row r="21">
      <c r="B21" s="41" t="inlineStr">
        <is>
          <t>Coût des actions ouvertes</t>
        </is>
      </c>
      <c r="C21" s="43" t="n"/>
      <c r="D21" s="43" t="n"/>
      <c r="E21" s="44">
        <f>SUMIFS(am_cost,am_suivi,"En retard")+SUMIFS(am_cost,am_suivi,"Échéance proche")+SUMIFS(am_cost,am_suivi,"Dans les délais")+SUMIFS(am_cost,am_suivi,"Échéance manquante")+SUMIFS(am_cost,am_suivi,"Action à définir")+SUMIFS(am_cost,am_suivi,"À réévaluer")</f>
        <v>0.0</v>
      </c>
      <c r="F21" s="43" t="n"/>
    </row>
    <row r="27" ht="22" customHeight="1">
      <c r="B27" s="5" t="inlineStr">
        <is>
          <t>Suivi des actions</t>
        </is>
      </c>
      <c r="C27" s="6" t="n"/>
      <c r="D27" s="6" t="n"/>
      <c r="E27" s="6" t="n"/>
      <c r="F27" s="6" t="n"/>
      <c r="H27" s="5" t="inlineStr">
        <is>
          <t>Actions à traiter en priorité (les 10 premières)</t>
        </is>
      </c>
      <c r="I27" s="6" t="n"/>
      <c r="J27" s="6" t="n"/>
      <c r="K27" s="6" t="n"/>
      <c r="L27" s="6" t="n"/>
      <c r="M27" s="6" t="n"/>
      <c r="N27" s="6" t="n"/>
      <c r="O27" s="6" t="n"/>
      <c r="P27" s="6" t="n"/>
    </row>
    <row r="28" ht="20" customHeight="1">
      <c r="B28" s="39" t="inlineStr">
        <is>
          <t>Suivi</t>
        </is>
      </c>
      <c r="C28" s="40" t="n"/>
      <c r="D28" s="39" t="inlineStr">
        <is>
          <t>Nombre</t>
        </is>
      </c>
      <c r="H28" s="45" t="inlineStr">
        <is>
          <t>N°</t>
        </is>
      </c>
      <c r="I28" s="45" t="inlineStr">
        <is>
          <t>Mode de défaillance</t>
        </is>
      </c>
      <c r="J28" s="45" t="n"/>
      <c r="K28" s="45" t="n"/>
      <c r="L28" s="45" t="inlineStr">
        <is>
          <t>Responsable</t>
        </is>
      </c>
      <c r="M28" s="45" t="n"/>
      <c r="N28" s="45" t="inlineStr">
        <is>
          <t>Échéance</t>
        </is>
      </c>
      <c r="O28" s="45" t="inlineStr">
        <is>
          <t>Suivi</t>
        </is>
      </c>
      <c r="P28" s="45" t="n"/>
    </row>
    <row r="29">
      <c r="B29" s="41" t="inlineStr">
        <is>
          <t>En retard</t>
        </is>
      </c>
      <c r="C29" s="41" t="n"/>
      <c r="D29" s="42">
        <f>COUNTIF(am_suivi,"En retard")</f>
        <v>0.0</v>
      </c>
      <c r="H29" s="46" t="str">
        <f>IF(R29="","",INDEX(am_num,R29)&amp;"")</f>
        <v/>
      </c>
      <c r="I29" s="46" t="str">
        <f>IF(R29="","",INDEX(am_mode,R29)&amp;"")</f>
        <v/>
      </c>
      <c r="J29" s="47" t="n"/>
      <c r="K29" s="47" t="n"/>
      <c r="L29" s="46" t="str">
        <f>IF(R29="","",INDEX(am_who,R29)&amp;"")</f>
        <v/>
      </c>
      <c r="M29" s="47" t="n"/>
      <c r="N29" s="48" t="str">
        <f>IF(R29="","",IF(N(INDEX(am_due,R29))&gt;0,INDEX(am_due,R29),""))</f>
        <v/>
      </c>
      <c r="O29" s="47" t="str">
        <f>IF(R29="","",INDEX(am_suivi,R29)&amp;"")</f>
        <v/>
      </c>
      <c r="P29" s="47" t="n"/>
      <c r="R29" t="str">
        <f>IFERROR(MATCH(SMALL(am_attkey,1),am_attkey,0),"")</f>
        <v/>
      </c>
    </row>
    <row r="30">
      <c r="B30" s="41" t="inlineStr">
        <is>
          <t>Échéance proche</t>
        </is>
      </c>
      <c r="C30" s="41" t="n"/>
      <c r="D30" s="42">
        <f>COUNTIF(am_suivi,"Échéance proche")</f>
        <v>0.0</v>
      </c>
      <c r="H30" s="46" t="str">
        <f>IF(R30="","",INDEX(am_num,R30)&amp;"")</f>
        <v/>
      </c>
      <c r="I30" s="46" t="str">
        <f>IF(R30="","",INDEX(am_mode,R30)&amp;"")</f>
        <v/>
      </c>
      <c r="J30" s="47" t="n"/>
      <c r="K30" s="47" t="n"/>
      <c r="L30" s="46" t="str">
        <f>IF(R30="","",INDEX(am_who,R30)&amp;"")</f>
        <v/>
      </c>
      <c r="M30" s="47" t="n"/>
      <c r="N30" s="48" t="str">
        <f>IF(R30="","",IF(N(INDEX(am_due,R30))&gt;0,INDEX(am_due,R30),""))</f>
        <v/>
      </c>
      <c r="O30" s="47" t="str">
        <f>IF(R30="","",INDEX(am_suivi,R30)&amp;"")</f>
        <v/>
      </c>
      <c r="P30" s="47" t="n"/>
      <c r="R30" t="str">
        <f>IFERROR(MATCH(SMALL(am_attkey,2),am_attkey,0),"")</f>
        <v/>
      </c>
    </row>
    <row r="31">
      <c r="B31" s="41" t="inlineStr">
        <is>
          <t>Dans les délais</t>
        </is>
      </c>
      <c r="C31" s="41" t="n"/>
      <c r="D31" s="42">
        <f>COUNTIF(am_suivi,"Dans les délais")</f>
        <v>0.0</v>
      </c>
      <c r="H31" s="46" t="str">
        <f>IF(R31="","",INDEX(am_num,R31)&amp;"")</f>
        <v/>
      </c>
      <c r="I31" s="46" t="str">
        <f>IF(R31="","",INDEX(am_mode,R31)&amp;"")</f>
        <v/>
      </c>
      <c r="J31" s="47" t="n"/>
      <c r="K31" s="47" t="n"/>
      <c r="L31" s="46" t="str">
        <f>IF(R31="","",INDEX(am_who,R31)&amp;"")</f>
        <v/>
      </c>
      <c r="M31" s="47" t="n"/>
      <c r="N31" s="48" t="str">
        <f>IF(R31="","",IF(N(INDEX(am_due,R31))&gt;0,INDEX(am_due,R31),""))</f>
        <v/>
      </c>
      <c r="O31" s="47" t="str">
        <f>IF(R31="","",INDEX(am_suivi,R31)&amp;"")</f>
        <v/>
      </c>
      <c r="P31" s="47" t="n"/>
      <c r="R31" t="str">
        <f>IFERROR(MATCH(SMALL(am_attkey,3),am_attkey,0),"")</f>
        <v/>
      </c>
    </row>
    <row r="32">
      <c r="B32" s="41" t="inlineStr">
        <is>
          <t>Échéance manquante</t>
        </is>
      </c>
      <c r="C32" s="41" t="n"/>
      <c r="D32" s="42">
        <f>COUNTIF(am_suivi,"Échéance manquante")</f>
        <v>0.0</v>
      </c>
      <c r="H32" s="46" t="str">
        <f>IF(R32="","",INDEX(am_num,R32)&amp;"")</f>
        <v/>
      </c>
      <c r="I32" s="46" t="str">
        <f>IF(R32="","",INDEX(am_mode,R32)&amp;"")</f>
        <v/>
      </c>
      <c r="J32" s="47" t="n"/>
      <c r="K32" s="47" t="n"/>
      <c r="L32" s="46" t="str">
        <f>IF(R32="","",INDEX(am_who,R32)&amp;"")</f>
        <v/>
      </c>
      <c r="M32" s="47" t="n"/>
      <c r="N32" s="48" t="str">
        <f>IF(R32="","",IF(N(INDEX(am_due,R32))&gt;0,INDEX(am_due,R32),""))</f>
        <v/>
      </c>
      <c r="O32" s="47" t="str">
        <f>IF(R32="","",INDEX(am_suivi,R32)&amp;"")</f>
        <v/>
      </c>
      <c r="P32" s="47" t="n"/>
      <c r="R32" t="str">
        <f>IFERROR(MATCH(SMALL(am_attkey,4),am_attkey,0),"")</f>
        <v/>
      </c>
    </row>
    <row r="33">
      <c r="B33" s="41" t="inlineStr">
        <is>
          <t>Action à définir</t>
        </is>
      </c>
      <c r="C33" s="41" t="n"/>
      <c r="D33" s="42">
        <f>COUNTIF(am_suivi,"Action à définir")</f>
        <v>0.0</v>
      </c>
      <c r="H33" s="46" t="str">
        <f>IF(R33="","",INDEX(am_num,R33)&amp;"")</f>
        <v/>
      </c>
      <c r="I33" s="46" t="str">
        <f>IF(R33="","",INDEX(am_mode,R33)&amp;"")</f>
        <v/>
      </c>
      <c r="J33" s="47" t="n"/>
      <c r="K33" s="47" t="n"/>
      <c r="L33" s="46" t="str">
        <f>IF(R33="","",INDEX(am_who,R33)&amp;"")</f>
        <v/>
      </c>
      <c r="M33" s="47" t="n"/>
      <c r="N33" s="48" t="str">
        <f>IF(R33="","",IF(N(INDEX(am_due,R33))&gt;0,INDEX(am_due,R33),""))</f>
        <v/>
      </c>
      <c r="O33" s="47" t="str">
        <f>IF(R33="","",INDEX(am_suivi,R33)&amp;"")</f>
        <v/>
      </c>
      <c r="P33" s="47" t="n"/>
      <c r="R33" t="str">
        <f>IFERROR(MATCH(SMALL(am_attkey,5),am_attkey,0),"")</f>
        <v/>
      </c>
    </row>
    <row r="34">
      <c r="B34" s="41" t="inlineStr">
        <is>
          <t>À réévaluer</t>
        </is>
      </c>
      <c r="C34" s="41" t="n"/>
      <c r="D34" s="42">
        <f>COUNTIF(am_suivi,"À réévaluer")</f>
        <v>0.0</v>
      </c>
      <c r="H34" s="46" t="str">
        <f>IF(R34="","",INDEX(am_num,R34)&amp;"")</f>
        <v/>
      </c>
      <c r="I34" s="46" t="str">
        <f>IF(R34="","",INDEX(am_mode,R34)&amp;"")</f>
        <v/>
      </c>
      <c r="J34" s="47" t="n"/>
      <c r="K34" s="47" t="n"/>
      <c r="L34" s="46" t="str">
        <f>IF(R34="","",INDEX(am_who,R34)&amp;"")</f>
        <v/>
      </c>
      <c r="M34" s="47" t="n"/>
      <c r="N34" s="48" t="str">
        <f>IF(R34="","",IF(N(INDEX(am_due,R34))&gt;0,INDEX(am_due,R34),""))</f>
        <v/>
      </c>
      <c r="O34" s="47" t="str">
        <f>IF(R34="","",INDEX(am_suivi,R34)&amp;"")</f>
        <v/>
      </c>
      <c r="P34" s="47" t="n"/>
      <c r="R34" t="str">
        <f>IFERROR(MATCH(SMALL(am_attkey,6),am_attkey,0),"")</f>
        <v/>
      </c>
    </row>
    <row r="35">
      <c r="B35" s="41" t="inlineStr">
        <is>
          <t>Réalisée</t>
        </is>
      </c>
      <c r="C35" s="41" t="n"/>
      <c r="D35" s="42">
        <f>COUNTIF(am_suivi,"Réalisée")</f>
        <v>0.0</v>
      </c>
      <c r="H35" s="46" t="str">
        <f>IF(R35="","",INDEX(am_num,R35)&amp;"")</f>
        <v/>
      </c>
      <c r="I35" s="46" t="str">
        <f>IF(R35="","",INDEX(am_mode,R35)&amp;"")</f>
        <v/>
      </c>
      <c r="J35" s="47" t="n"/>
      <c r="K35" s="47" t="n"/>
      <c r="L35" s="46" t="str">
        <f>IF(R35="","",INDEX(am_who,R35)&amp;"")</f>
        <v/>
      </c>
      <c r="M35" s="47" t="n"/>
      <c r="N35" s="48" t="str">
        <f>IF(R35="","",IF(N(INDEX(am_due,R35))&gt;0,INDEX(am_due,R35),""))</f>
        <v/>
      </c>
      <c r="O35" s="47" t="str">
        <f>IF(R35="","",INDEX(am_suivi,R35)&amp;"")</f>
        <v/>
      </c>
      <c r="P35" s="47" t="n"/>
      <c r="R35" t="str">
        <f>IFERROR(MATCH(SMALL(am_attkey,7),am_attkey,0),"")</f>
        <v/>
      </c>
    </row>
    <row r="36">
      <c r="H36" s="46" t="str">
        <f>IF(R36="","",INDEX(am_num,R36)&amp;"")</f>
        <v/>
      </c>
      <c r="I36" s="46" t="str">
        <f>IF(R36="","",INDEX(am_mode,R36)&amp;"")</f>
        <v/>
      </c>
      <c r="J36" s="47" t="n"/>
      <c r="K36" s="47" t="n"/>
      <c r="L36" s="46" t="str">
        <f>IF(R36="","",INDEX(am_who,R36)&amp;"")</f>
        <v/>
      </c>
      <c r="M36" s="47" t="n"/>
      <c r="N36" s="48" t="str">
        <f>IF(R36="","",IF(N(INDEX(am_due,R36))&gt;0,INDEX(am_due,R36),""))</f>
        <v/>
      </c>
      <c r="O36" s="47" t="str">
        <f>IF(R36="","",INDEX(am_suivi,R36)&amp;"")</f>
        <v/>
      </c>
      <c r="P36" s="47" t="n"/>
      <c r="R36" t="str">
        <f>IFERROR(MATCH(SMALL(am_attkey,8),am_attkey,0),"")</f>
        <v/>
      </c>
    </row>
    <row r="37">
      <c r="H37" s="46" t="str">
        <f>IF(R37="","",INDEX(am_num,R37)&amp;"")</f>
        <v/>
      </c>
      <c r="I37" s="46" t="str">
        <f>IF(R37="","",INDEX(am_mode,R37)&amp;"")</f>
        <v/>
      </c>
      <c r="J37" s="47" t="n"/>
      <c r="K37" s="47" t="n"/>
      <c r="L37" s="46" t="str">
        <f>IF(R37="","",INDEX(am_who,R37)&amp;"")</f>
        <v/>
      </c>
      <c r="M37" s="47" t="n"/>
      <c r="N37" s="48" t="str">
        <f>IF(R37="","",IF(N(INDEX(am_due,R37))&gt;0,INDEX(am_due,R37),""))</f>
        <v/>
      </c>
      <c r="O37" s="47" t="str">
        <f>IF(R37="","",INDEX(am_suivi,R37)&amp;"")</f>
        <v/>
      </c>
      <c r="P37" s="47" t="n"/>
      <c r="R37" t="str">
        <f>IFERROR(MATCH(SMALL(am_attkey,9),am_attkey,0),"")</f>
        <v/>
      </c>
    </row>
    <row r="38">
      <c r="H38" s="46" t="str">
        <f>IF(R38="","",INDEX(am_num,R38)&amp;"")</f>
        <v/>
      </c>
      <c r="I38" s="46" t="str">
        <f>IF(R38="","",INDEX(am_mode,R38)&amp;"")</f>
        <v/>
      </c>
      <c r="J38" s="47" t="n"/>
      <c r="K38" s="47" t="n"/>
      <c r="L38" s="46" t="str">
        <f>IF(R38="","",INDEX(am_who,R38)&amp;"")</f>
        <v/>
      </c>
      <c r="M38" s="47" t="n"/>
      <c r="N38" s="48" t="str">
        <f>IF(R38="","",IF(N(INDEX(am_due,R38))&gt;0,INDEX(am_due,R38),""))</f>
        <v/>
      </c>
      <c r="O38" s="47" t="str">
        <f>IF(R38="","",INDEX(am_suivi,R38)&amp;"")</f>
        <v/>
      </c>
      <c r="P38" s="47" t="n"/>
      <c r="R38" t="str">
        <f>IFERROR(MATCH(SMALL(am_attkey,10),am_attkey,0),"")</f>
        <v/>
      </c>
    </row>
    <row r="39">
      <c r="H39" s="38" t="str">
        <f>IF(COUNT(am_attkey)=0,"Aucune action en retard, à définir ou à réévaluer.",IF(COUNT(am_attkey)&gt;10,"Et "&amp;(COUNT(am_attkey)-10)&amp;" autre(s) : voir la feuille « Plan d'actions ».",""))</f>
        <v>Aucune action en retard, à définir ou à réévaluer.</v>
      </c>
    </row>
  </sheetData>
  <mergeCells count="70">
    <mergeCell ref="I32:K32"/>
    <mergeCell ref="B16:C16"/>
    <mergeCell ref="I28:K28"/>
    <mergeCell ref="O34:P34"/>
    <mergeCell ref="L32:M32"/>
    <mergeCell ref="O28:P28"/>
    <mergeCell ref="I37:K37"/>
    <mergeCell ref="N5:P5"/>
    <mergeCell ref="O33:P33"/>
    <mergeCell ref="B31:C31"/>
    <mergeCell ref="L37:M37"/>
    <mergeCell ref="L28:M28"/>
    <mergeCell ref="H7:J7"/>
    <mergeCell ref="E6:G6"/>
    <mergeCell ref="B12:C12"/>
    <mergeCell ref="O36:P36"/>
    <mergeCell ref="O30:P30"/>
    <mergeCell ref="I33:K33"/>
    <mergeCell ref="N3:O3"/>
    <mergeCell ref="B19:D19"/>
    <mergeCell ref="E20:F20"/>
    <mergeCell ref="O29:P29"/>
    <mergeCell ref="E19:F19"/>
    <mergeCell ref="L33:M33"/>
    <mergeCell ref="O32:P32"/>
    <mergeCell ref="B14:C14"/>
    <mergeCell ref="I35:K35"/>
    <mergeCell ref="O35:P35"/>
    <mergeCell ref="E7:G7"/>
    <mergeCell ref="B6:D6"/>
    <mergeCell ref="N6:P6"/>
    <mergeCell ref="K7:M7"/>
    <mergeCell ref="B20:D20"/>
    <mergeCell ref="B13:C13"/>
    <mergeCell ref="I29:K29"/>
    <mergeCell ref="L30:M30"/>
    <mergeCell ref="O31:P31"/>
    <mergeCell ref="B5:D5"/>
    <mergeCell ref="L29:M29"/>
    <mergeCell ref="B29:C29"/>
    <mergeCell ref="L35:M35"/>
    <mergeCell ref="I38:K38"/>
    <mergeCell ref="L38:M38"/>
    <mergeCell ref="K6:M6"/>
    <mergeCell ref="H5:J5"/>
    <mergeCell ref="B34:C34"/>
    <mergeCell ref="B28:C28"/>
    <mergeCell ref="I31:K31"/>
    <mergeCell ref="I34:K34"/>
    <mergeCell ref="O37:P37"/>
    <mergeCell ref="B7:D7"/>
    <mergeCell ref="I30:K30"/>
    <mergeCell ref="L31:M31"/>
    <mergeCell ref="N7:P7"/>
    <mergeCell ref="B30:C30"/>
    <mergeCell ref="L34:M34"/>
    <mergeCell ref="B15:C15"/>
    <mergeCell ref="B33:C33"/>
    <mergeCell ref="I36:K36"/>
    <mergeCell ref="E5:G5"/>
    <mergeCell ref="K5:M5"/>
    <mergeCell ref="O38:P38"/>
    <mergeCell ref="B18:D18"/>
    <mergeCell ref="B32:C32"/>
    <mergeCell ref="B21:D21"/>
    <mergeCell ref="L36:M36"/>
    <mergeCell ref="E18:F18"/>
    <mergeCell ref="B35:C35"/>
    <mergeCell ref="E21:F21"/>
    <mergeCell ref="H6:J6"/>
  </mergeCells>
  <conditionalFormatting sqref="B13:C16">
    <cfRule type="expression" priority="1" dxfId="0">
      <formula>$B13="Critique"</formula>
    </cfRule>
    <cfRule type="expression" priority="2" dxfId="1">
      <formula>$B13="Élevée"</formula>
    </cfRule>
    <cfRule type="expression" priority="3" dxfId="2">
      <formula>$B13="Moyenne"</formula>
    </cfRule>
    <cfRule type="expression" priority="4" dxfId="3">
      <formula>$B13="Faible"</formula>
    </cfRule>
    <cfRule type="expression" priority="5" dxfId="4">
      <formula>$B13="À coter"</formula>
    </cfRule>
  </conditionalFormatting>
  <conditionalFormatting sqref="B29:C35">
    <cfRule type="expression" priority="6" dxfId="0">
      <formula>$B29="En retard"</formula>
    </cfRule>
    <cfRule type="expression" priority="7" dxfId="1">
      <formula>$B29="Action à définir"</formula>
    </cfRule>
    <cfRule type="expression" priority="8" dxfId="5">
      <formula>$B29="Échéance manquante"</formula>
    </cfRule>
    <cfRule type="expression" priority="9" dxfId="6">
      <formula>$B29="Échéance proche"</formula>
    </cfRule>
    <cfRule type="expression" priority="10" dxfId="3">
      <formula>$B29="Dans les délais"</formula>
    </cfRule>
    <cfRule type="expression" priority="11" dxfId="7">
      <formula>$B29="À réévaluer"</formula>
    </cfRule>
    <cfRule type="expression" priority="12" dxfId="8">
      <formula>$B29="Réalisée"</formula>
    </cfRule>
    <cfRule type="expression" priority="13" dxfId="4">
      <formula>$B29="Annulée"</formula>
    </cfRule>
    <cfRule type="expression" priority="14" dxfId="4">
      <formula>$B29="Sans action"</formula>
    </cfRule>
  </conditionalFormatting>
  <conditionalFormatting sqref="O29:P38">
    <cfRule type="expression" priority="15" dxfId="0">
      <formula>$O29="En retard"</formula>
    </cfRule>
    <cfRule type="expression" priority="16" dxfId="1">
      <formula>$O29="Action à définir"</formula>
    </cfRule>
    <cfRule type="expression" priority="17" dxfId="5">
      <formula>$O29="Échéance manquante"</formula>
    </cfRule>
    <cfRule type="expression" priority="18" dxfId="6">
      <formula>$O29="Échéance proche"</formula>
    </cfRule>
    <cfRule type="expression" priority="19" dxfId="3">
      <formula>$O29="Dans les délais"</formula>
    </cfRule>
    <cfRule type="expression" priority="20" dxfId="7">
      <formula>$O29="À réévaluer"</formula>
    </cfRule>
    <cfRule type="expression" priority="21" dxfId="8">
      <formula>$O29="Réalisée"</formula>
    </cfRule>
    <cfRule type="expression" priority="22" dxfId="4">
      <formula>$O29="Annulée"</formula>
    </cfRule>
    <cfRule type="expression" priority="23" dxfId="4">
      <formula>$O29="Sans action"</formula>
    </cfRule>
  </conditionalFormatting>
  <conditionalFormatting sqref="E21">
    <cfRule type="expression" priority="24" dxfId="9">
      <formula>p_currency="MAD"</formula>
    </cfRule>
    <cfRule type="expression" priority="25" dxfId="10">
      <formula>p_currency="EUR"</formula>
    </cfRule>
    <cfRule type="expression" priority="26" dxfId="11">
      <formula>p_currency="USD"</formula>
    </cfRule>
  </conditionalFormatting>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B91C1C"/>
    <outlinePr summaryBelow="1" summaryRight="1"/>
    <pageSetUpPr fitToPage="1"/>
  </sheetPr>
  <dimension ref="A1:AI505"/>
  <sheetViews>
    <sheetView showGridLines="0" tabSelected="0" zoomScale="100" workbookViewId="0">
      <pane xSplit="4" ySplit="5" topLeftCell="E6" activePane="bottomRight" state="frozen"/>
      <selection pane="topRight"/>
      <selection pane="bottomLeft"/>
      <selection pane="bottomRight" activeCell="A1" sqref="A1"/>
    </sheetView>
  </sheetViews>
  <sheetFormatPr baseColWidth="8" defaultRowHeight="15"/>
  <cols>
    <col width="9" customWidth="1" min="1" max="1"/>
    <col width="15" customWidth="1" min="2" max="2"/>
    <col width="22" customWidth="1" min="3" max="3"/>
    <col width="24" customWidth="1" min="4" max="4"/>
    <col width="26" customWidth="1" min="5" max="5"/>
    <col width="5" customWidth="1" min="6" max="6"/>
    <col width="24" customWidth="1" min="7" max="7"/>
    <col width="5" customWidth="1" min="8" max="8"/>
    <col width="22" customWidth="1" min="9" max="9"/>
    <col width="22" customWidth="1" min="10" max="10"/>
    <col width="5" customWidth="1" min="11" max="11"/>
    <col width="7" customWidth="1" min="12" max="12"/>
    <col width="10" customWidth="1" min="13" max="13"/>
    <col width="8" customWidth="1" min="14" max="14"/>
    <col width="30" customWidth="1" min="15" max="15"/>
    <col width="19" customWidth="1" min="16" max="16"/>
    <col width="11" customWidth="1" min="17" max="17"/>
    <col width="10" customWidth="1" min="18" max="18"/>
    <col width="11" customWidth="1" min="19" max="19"/>
    <col width="12" customWidth="1" min="20" max="20"/>
    <col width="5" customWidth="1" min="21" max="21"/>
    <col width="5" customWidth="1" min="22" max="22"/>
    <col width="5" customWidth="1" min="23" max="23"/>
    <col width="7" customWidth="1" min="24" max="24"/>
    <col width="10" customWidth="1" min="25" max="25"/>
    <col width="8" customWidth="1" min="26" max="26"/>
    <col width="18" customWidth="1" min="27" max="27"/>
    <col width="28"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8" customHeight="1">
      <c r="A1" s="2" t="inlineStr">
        <is>
          <t>AMDEC</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8" t="inlineStr">
        <is>
          <t>⌂ Mode d'emploi</t>
        </is>
      </c>
    </row>
    <row r="2" ht="22" customHeight="1">
      <c r="A2" s="4" t="str">
        <f>"Une ligne par mode de défaillance et par cause."&amp;IF(p_scope&lt;&gt;"","   Périmètre : "&amp;p_scope,"")</f>
        <v>Une ligne par mode de défaillance et par cause.</v>
      </c>
      <c r="B2" s="3" t="n"/>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c r="AA2" s="3" t="n"/>
      <c r="AB2" s="3" t="n"/>
    </row>
    <row r="3" ht="18" customHeight="1">
      <c r="Z3" s="16" t="inlineStr">
        <is>
          <t>Saisie</t>
        </is>
      </c>
      <c r="AA3" s="17" t="inlineStr">
        <is>
          <t>Calcul auto</t>
        </is>
      </c>
    </row>
    <row r="4">
      <c r="A4" s="49" t="inlineStr">
        <is>
          <t>Analyse</t>
        </is>
      </c>
      <c r="F4" s="49" t="inlineStr">
        <is>
          <t>Causes, contrôles et cotation</t>
        </is>
      </c>
      <c r="L4" s="49" t="inlineStr">
        <is>
          <t>Risque</t>
        </is>
      </c>
      <c r="O4" s="49" t="inlineStr">
        <is>
          <t>Action</t>
        </is>
      </c>
      <c r="U4" s="49" t="inlineStr">
        <is>
          <t>Après action</t>
        </is>
      </c>
      <c r="AA4" s="49" t="inlineStr">
        <is>
          <t>Suivi</t>
        </is>
      </c>
    </row>
    <row r="5" ht="36" customHeight="1">
      <c r="A5" s="39" t="inlineStr">
        <is>
          <t>N°</t>
        </is>
      </c>
      <c r="B5" s="39" t="inlineStr">
        <is>
          <t>Étape du processus</t>
        </is>
      </c>
      <c r="C5" s="39" t="inlineStr">
        <is>
          <t>Fonction / exigence</t>
        </is>
      </c>
      <c r="D5" s="39" t="inlineStr">
        <is>
          <t>Mode de défaillance</t>
        </is>
      </c>
      <c r="E5" s="39" t="inlineStr">
        <is>
          <t>Effet</t>
        </is>
      </c>
      <c r="F5" s="39" t="inlineStr">
        <is>
          <t>G</t>
        </is>
      </c>
      <c r="G5" s="39" t="inlineStr">
        <is>
          <t>Cause</t>
        </is>
      </c>
      <c r="H5" s="39" t="inlineStr">
        <is>
          <t>O</t>
        </is>
      </c>
      <c r="I5" s="39" t="inlineStr">
        <is>
          <t>Contrôle de prévention</t>
        </is>
      </c>
      <c r="J5" s="39" t="inlineStr">
        <is>
          <t>Contrôle de détection</t>
        </is>
      </c>
      <c r="K5" s="39" t="inlineStr">
        <is>
          <t>D</t>
        </is>
      </c>
      <c r="L5" s="39" t="inlineStr">
        <is>
          <t>IPR</t>
        </is>
      </c>
      <c r="M5" s="39" t="inlineStr">
        <is>
          <t>Criticité</t>
        </is>
      </c>
      <c r="N5" s="39" t="inlineStr">
        <is>
          <t>Action requise</t>
        </is>
      </c>
      <c r="O5" s="39" t="inlineStr">
        <is>
          <t>Action recommandée</t>
        </is>
      </c>
      <c r="P5" s="39" t="inlineStr">
        <is>
          <t>Responsable</t>
        </is>
      </c>
      <c r="Q5" s="39" t="inlineStr">
        <is>
          <t>Échéance</t>
        </is>
      </c>
      <c r="R5" s="39" t="inlineStr">
        <is>
          <t>Statut</t>
        </is>
      </c>
      <c r="S5" s="39" t="inlineStr">
        <is>
          <t>Réalisée le</t>
        </is>
      </c>
      <c r="T5" s="39" t="inlineStr">
        <is>
          <t>Coût de l'action</t>
        </is>
      </c>
      <c r="U5" s="39" t="inlineStr">
        <is>
          <t>G'</t>
        </is>
      </c>
      <c r="V5" s="39" t="inlineStr">
        <is>
          <t>O'</t>
        </is>
      </c>
      <c r="W5" s="39" t="inlineStr">
        <is>
          <t>D'</t>
        </is>
      </c>
      <c r="X5" s="39" t="inlineStr">
        <is>
          <t>IPR'</t>
        </is>
      </c>
      <c r="Y5" s="39" t="inlineStr">
        <is>
          <t>Criticité après</t>
        </is>
      </c>
      <c r="Z5" s="39" t="inlineStr">
        <is>
          <t>Gain</t>
        </is>
      </c>
      <c r="AA5" s="39" t="inlineStr">
        <is>
          <t>Suivi de l'action</t>
        </is>
      </c>
      <c r="AB5" s="39" t="inlineStr">
        <is>
          <t>Contrôle</t>
        </is>
      </c>
      <c r="AC5" s="39" t="inlineStr">
        <is>
          <t>Clé plan</t>
        </is>
      </c>
      <c r="AD5" s="39" t="inlineStr">
        <is>
          <t>Clé Pareto</t>
        </is>
      </c>
      <c r="AE5" s="39" t="inlineStr">
        <is>
          <t>Clé urgence</t>
        </is>
      </c>
      <c r="AF5" s="39" t="inlineStr">
        <is>
          <t>IPR actuel</t>
        </is>
      </c>
      <c r="AG5" s="39" t="inlineStr">
        <is>
          <t>Criticité actuelle</t>
        </is>
      </c>
      <c r="AH5" s="39" t="inlineStr">
        <is>
          <t>G actuel</t>
        </is>
      </c>
      <c r="AI5" s="39" t="inlineStr">
        <is>
          <t>O actuel</t>
        </is>
      </c>
    </row>
    <row r="6" ht="30" customHeight="1">
      <c r="A6" s="50" t="n"/>
      <c r="B6" s="51" t="n"/>
      <c r="C6" s="51" t="n"/>
      <c r="D6" s="51" t="n"/>
      <c r="E6" s="51" t="n"/>
      <c r="F6" s="52" t="n"/>
      <c r="G6" s="51" t="n"/>
      <c r="H6" s="52" t="n"/>
      <c r="I6" s="51" t="n"/>
      <c r="J6" s="51" t="n"/>
      <c r="K6" s="52" t="n"/>
      <c r="L6" s="53" t="str">
        <f>IF(AND(IF(ISNUMBER(F6),AND(F6&gt;=1,F6&lt;=10,F6=INT(F6)),FALSE),IF(ISNUMBER(H6),AND(H6&gt;=1,H6&lt;=10,H6=INT(H6)),FALSE),IF(ISNUMBER(K6),AND(K6&gt;=1,K6&lt;=10,K6=INT(K6)),FALSE)),F6*H6*K6,"")</f>
        <v/>
      </c>
      <c r="M6" s="54" t="str">
        <f>IF(L6="",IF(D6="","","À coter"),IF(OR(F6&gt;=p_gmin,L6&gt;=p_ipr_crit),"Critique",IF(L6&gt;=p_ipr_act,"Élevée",IF(L6&gt;=p_ipr_watch,"Moyenne","Faible"))))</f>
        <v/>
      </c>
      <c r="N6" s="54" t="str">
        <f>IF(OR(M6="",M6="À coter"),"",IF(OR(M6="Critique",M6="Élevée"),"Oui","Non"))</f>
        <v/>
      </c>
      <c r="O6" s="51" t="n"/>
      <c r="P6" s="51" t="n"/>
      <c r="Q6" s="55" t="n"/>
      <c r="R6" s="50" t="n"/>
      <c r="S6" s="55" t="n"/>
      <c r="T6" s="56" t="n"/>
      <c r="U6" s="52" t="n"/>
      <c r="V6" s="52" t="n"/>
      <c r="W6" s="52" t="n"/>
      <c r="X6" s="53" t="str">
        <f>IF(AND(L6&lt;&gt;"",IF(ISNUMBER(U6),AND(U6&gt;=1,U6&lt;=10,U6=INT(U6)),FALSE),IF(ISNUMBER(V6),AND(V6&gt;=1,V6&lt;=10,V6=INT(V6)),FALSE),IF(ISNUMBER(W6),AND(W6&gt;=1,W6&lt;=10,W6=INT(W6)),FALSE)),U6*V6*W6,"")</f>
        <v/>
      </c>
      <c r="Y6" s="54" t="str">
        <f>IF(X6="","",IF(OR(U6&gt;=p_gmin,X6&gt;=p_ipr_crit),"Critique",IF(X6&gt;=p_ipr_act,"Élevée",IF(X6&gt;=p_ipr_watch,"Moyenne","Faible"))))</f>
        <v/>
      </c>
      <c r="Z6" s="57" t="str">
        <f>IF(X6="","",(L6-X6)/L6)</f>
        <v/>
      </c>
      <c r="AA6" s="54" t="str">
        <f>IF(AND(D6="",O6=""),"",IF(O6="",IF(N6="Oui","Action à définir",IF(N6="Non","Sans action","")),IF(R6="Annulée","Annulée",IF(R6="Réalisée",IF(X6="","À réévaluer","Réalisée"),IF(N(Q6)=0,"Échéance manquante",IF(Q6&lt;p_today,"En retard",IF(Q6-p_today&lt;=p_alert,"Échéance proche","Dans les délais")))))))</f>
        <v/>
      </c>
      <c r="AB6" s="58" t="str">
        <f>IF(AND(A6="",B6="",D6="",F6="",H6="",K6="",O6=""),"",IF(D6="","Mode de défaillance manquant",IF(AND(A6&lt;&gt;"",COUNTIF(am_num,A6)&gt;1),"N° en double",IF(F6="","Gravité G manquante",IF(NOT(IF(ISNUMBER(F6),AND(F6&gt;=1,F6&lt;=10,F6=INT(F6)),FALSE)),"G : entier de 1 à 10",IF(H6="","Occurrence O manquante",IF(NOT(IF(ISNUMBER(H6),AND(H6&gt;=1,H6&lt;=10,H6=INT(H6)),FALSE)),"O : entier de 1 à 10",IF(K6="","Détection D manquante",IF(NOT(IF(ISNUMBER(K6),AND(K6&gt;=1,K6&lt;=10,K6=INT(K6)),FALSE)),"D : entier de 1 à 10",IF(G6="","Cause manquante",IF(AND(O6&lt;&gt;"",P6=""),"Responsable manquant",IF(AND(R6&lt;&gt;"",O6=""),"Statut sans action",IF(AND(R6="Réalisée",N(S6)=0),"Date de réalisation manquante",IF(AND(T6&lt;&gt;"",IF(ISNUMBER(T6),T6&lt;0,TRUE)),"Coût invalide",IF(AND(COUNTBLANK(U6:W6)&gt;0,COUNTBLANK(U6:W6)&lt;3),"Cotation après action incomplète",IF(AND(COUNTBLANK(U6:W6)=0,X6=""),"G', O', D' : entiers de 1 à 10",IF(AND(X6&lt;&gt;"",X6&gt;L6),"IPR après action plus élevé","OK")))))))))))))))))</f>
        <v/>
      </c>
      <c r="AC6" s="59" t="str">
        <f>IF(OR(AA6="En retard",AA6="Échéance proche",AA6="Dans les délais",AA6="Échéance manquante",AA6="Action à définir",AA6="À réévaluer"),IF(OR(plan_who="",P6=plan_who),IF(N(Q6)&gt;0,Q6,99999)*1000+ROW(),""),"")</f>
        <v/>
      </c>
      <c r="AD6" s="59" t="str">
        <f>IF(L6="","",L6*1000+1000-ROW())</f>
        <v/>
      </c>
      <c r="AE6" s="59" t="str">
        <f>IF(IF(AA6="En retard",1,IF(AA6="Action à définir",2,IF(AA6="Échéance manquante",3,IF(AA6="Échéance proche",4,IF(AA6="À réévaluer",5,0)))))=0,"",IF(AA6="En retard",1,IF(AA6="Action à définir",2,IF(AA6="Échéance manquante",3,IF(AA6="Échéance proche",4,IF(AA6="À réévaluer",5,0)))))*100000000+IF(N(Q6)&gt;0,Q6,99999)*1000+ROW())</f>
        <v/>
      </c>
      <c r="AF6" s="59" t="str">
        <f>IF(X6&lt;&gt;"",X6,L6)</f>
        <v/>
      </c>
      <c r="AG6" s="59" t="str">
        <f>IF(X6&lt;&gt;"",Y6,IF(L6&lt;&gt;"",M6,""))</f>
        <v/>
      </c>
      <c r="AH6" s="59" t="str">
        <f>IF(L6="","",IF(X6&lt;&gt;"",U6,F6))</f>
        <v/>
      </c>
      <c r="AI6" s="59" t="str">
        <f>IF(L6="","",IF(X6&lt;&gt;"",V6,H6))</f>
        <v/>
      </c>
    </row>
    <row r="7" ht="30" customHeight="1">
      <c r="A7" s="50" t="n"/>
      <c r="B7" s="51" t="n"/>
      <c r="C7" s="51" t="n"/>
      <c r="D7" s="51" t="n"/>
      <c r="E7" s="51" t="n"/>
      <c r="F7" s="52" t="n"/>
      <c r="G7" s="51" t="n"/>
      <c r="H7" s="52" t="n"/>
      <c r="I7" s="51" t="n"/>
      <c r="J7" s="51" t="n"/>
      <c r="K7" s="52" t="n"/>
      <c r="L7" s="53" t="str">
        <f>IF(AND(IF(ISNUMBER(F7),AND(F7&gt;=1,F7&lt;=10,F7=INT(F7)),FALSE),IF(ISNUMBER(H7),AND(H7&gt;=1,H7&lt;=10,H7=INT(H7)),FALSE),IF(ISNUMBER(K7),AND(K7&gt;=1,K7&lt;=10,K7=INT(K7)),FALSE)),F7*H7*K7,"")</f>
        <v/>
      </c>
      <c r="M7" s="54" t="str">
        <f>IF(L7="",IF(D7="","","À coter"),IF(OR(F7&gt;=p_gmin,L7&gt;=p_ipr_crit),"Critique",IF(L7&gt;=p_ipr_act,"Élevée",IF(L7&gt;=p_ipr_watch,"Moyenne","Faible"))))</f>
        <v/>
      </c>
      <c r="N7" s="54" t="str">
        <f>IF(OR(M7="",M7="À coter"),"",IF(OR(M7="Critique",M7="Élevée"),"Oui","Non"))</f>
        <v/>
      </c>
      <c r="O7" s="51" t="n"/>
      <c r="P7" s="51" t="n"/>
      <c r="Q7" s="55" t="n"/>
      <c r="R7" s="50" t="n"/>
      <c r="S7" s="55" t="n"/>
      <c r="T7" s="56" t="n"/>
      <c r="U7" s="52" t="n"/>
      <c r="V7" s="52" t="n"/>
      <c r="W7" s="52" t="n"/>
      <c r="X7" s="53" t="str">
        <f>IF(AND(L7&lt;&gt;"",IF(ISNUMBER(U7),AND(U7&gt;=1,U7&lt;=10,U7=INT(U7)),FALSE),IF(ISNUMBER(V7),AND(V7&gt;=1,V7&lt;=10,V7=INT(V7)),FALSE),IF(ISNUMBER(W7),AND(W7&gt;=1,W7&lt;=10,W7=INT(W7)),FALSE)),U7*V7*W7,"")</f>
        <v/>
      </c>
      <c r="Y7" s="54" t="str">
        <f>IF(X7="","",IF(OR(U7&gt;=p_gmin,X7&gt;=p_ipr_crit),"Critique",IF(X7&gt;=p_ipr_act,"Élevée",IF(X7&gt;=p_ipr_watch,"Moyenne","Faible"))))</f>
        <v/>
      </c>
      <c r="Z7" s="57" t="str">
        <f>IF(X7="","",(L7-X7)/L7)</f>
        <v/>
      </c>
      <c r="AA7" s="54" t="str">
        <f>IF(AND(D7="",O7=""),"",IF(O7="",IF(N7="Oui","Action à définir",IF(N7="Non","Sans action","")),IF(R7="Annulée","Annulée",IF(R7="Réalisée",IF(X7="","À réévaluer","Réalisée"),IF(N(Q7)=0,"Échéance manquante",IF(Q7&lt;p_today,"En retard",IF(Q7-p_today&lt;=p_alert,"Échéance proche","Dans les délais")))))))</f>
        <v/>
      </c>
      <c r="AB7" s="58" t="str">
        <f>IF(AND(A7="",B7="",D7="",F7="",H7="",K7="",O7=""),"",IF(D7="","Mode de défaillance manquant",IF(AND(A7&lt;&gt;"",COUNTIF(am_num,A7)&gt;1),"N° en double",IF(F7="","Gravité G manquante",IF(NOT(IF(ISNUMBER(F7),AND(F7&gt;=1,F7&lt;=10,F7=INT(F7)),FALSE)),"G : entier de 1 à 10",IF(H7="","Occurrence O manquante",IF(NOT(IF(ISNUMBER(H7),AND(H7&gt;=1,H7&lt;=10,H7=INT(H7)),FALSE)),"O : entier de 1 à 10",IF(K7="","Détection D manquante",IF(NOT(IF(ISNUMBER(K7),AND(K7&gt;=1,K7&lt;=10,K7=INT(K7)),FALSE)),"D : entier de 1 à 10",IF(G7="","Cause manquante",IF(AND(O7&lt;&gt;"",P7=""),"Responsable manquant",IF(AND(R7&lt;&gt;"",O7=""),"Statut sans action",IF(AND(R7="Réalisée",N(S7)=0),"Date de réalisation manquante",IF(AND(T7&lt;&gt;"",IF(ISNUMBER(T7),T7&lt;0,TRUE)),"Coût invalide",IF(AND(COUNTBLANK(U7:W7)&gt;0,COUNTBLANK(U7:W7)&lt;3),"Cotation après action incomplète",IF(AND(COUNTBLANK(U7:W7)=0,X7=""),"G', O', D' : entiers de 1 à 10",IF(AND(X7&lt;&gt;"",X7&gt;L7),"IPR après action plus élevé","OK")))))))))))))))))</f>
        <v/>
      </c>
      <c r="AC7" s="59" t="str">
        <f>IF(OR(AA7="En retard",AA7="Échéance proche",AA7="Dans les délais",AA7="Échéance manquante",AA7="Action à définir",AA7="À réévaluer"),IF(OR(plan_who="",P7=plan_who),IF(N(Q7)&gt;0,Q7,99999)*1000+ROW(),""),"")</f>
        <v/>
      </c>
      <c r="AD7" s="59" t="str">
        <f>IF(L7="","",L7*1000+1000-ROW())</f>
        <v/>
      </c>
      <c r="AE7" s="59" t="str">
        <f>IF(IF(AA7="En retard",1,IF(AA7="Action à définir",2,IF(AA7="Échéance manquante",3,IF(AA7="Échéance proche",4,IF(AA7="À réévaluer",5,0)))))=0,"",IF(AA7="En retard",1,IF(AA7="Action à définir",2,IF(AA7="Échéance manquante",3,IF(AA7="Échéance proche",4,IF(AA7="À réévaluer",5,0)))))*100000000+IF(N(Q7)&gt;0,Q7,99999)*1000+ROW())</f>
        <v/>
      </c>
      <c r="AF7" s="59" t="str">
        <f>IF(X7&lt;&gt;"",X7,L7)</f>
        <v/>
      </c>
      <c r="AG7" s="59" t="str">
        <f>IF(X7&lt;&gt;"",Y7,IF(L7&lt;&gt;"",M7,""))</f>
        <v/>
      </c>
      <c r="AH7" s="59" t="str">
        <f>IF(L7="","",IF(X7&lt;&gt;"",U7,F7))</f>
        <v/>
      </c>
      <c r="AI7" s="59" t="str">
        <f>IF(L7="","",IF(X7&lt;&gt;"",V7,H7))</f>
        <v/>
      </c>
    </row>
    <row r="8" ht="30" customHeight="1">
      <c r="A8" s="50" t="n"/>
      <c r="B8" s="51" t="n"/>
      <c r="C8" s="51" t="n"/>
      <c r="D8" s="51" t="n"/>
      <c r="E8" s="51" t="n"/>
      <c r="F8" s="52" t="n"/>
      <c r="G8" s="51" t="n"/>
      <c r="H8" s="52" t="n"/>
      <c r="I8" s="51" t="n"/>
      <c r="J8" s="51" t="n"/>
      <c r="K8" s="52" t="n"/>
      <c r="L8" s="53" t="str">
        <f>IF(AND(IF(ISNUMBER(F8),AND(F8&gt;=1,F8&lt;=10,F8=INT(F8)),FALSE),IF(ISNUMBER(H8),AND(H8&gt;=1,H8&lt;=10,H8=INT(H8)),FALSE),IF(ISNUMBER(K8),AND(K8&gt;=1,K8&lt;=10,K8=INT(K8)),FALSE)),F8*H8*K8,"")</f>
        <v/>
      </c>
      <c r="M8" s="54" t="str">
        <f>IF(L8="",IF(D8="","","À coter"),IF(OR(F8&gt;=p_gmin,L8&gt;=p_ipr_crit),"Critique",IF(L8&gt;=p_ipr_act,"Élevée",IF(L8&gt;=p_ipr_watch,"Moyenne","Faible"))))</f>
        <v/>
      </c>
      <c r="N8" s="54" t="str">
        <f>IF(OR(M8="",M8="À coter"),"",IF(OR(M8="Critique",M8="Élevée"),"Oui","Non"))</f>
        <v/>
      </c>
      <c r="O8" s="51" t="n"/>
      <c r="P8" s="51" t="n"/>
      <c r="Q8" s="55" t="n"/>
      <c r="R8" s="50" t="n"/>
      <c r="S8" s="55" t="n"/>
      <c r="T8" s="56" t="n"/>
      <c r="U8" s="52" t="n"/>
      <c r="V8" s="52" t="n"/>
      <c r="W8" s="52" t="n"/>
      <c r="X8" s="53" t="str">
        <f>IF(AND(L8&lt;&gt;"",IF(ISNUMBER(U8),AND(U8&gt;=1,U8&lt;=10,U8=INT(U8)),FALSE),IF(ISNUMBER(V8),AND(V8&gt;=1,V8&lt;=10,V8=INT(V8)),FALSE),IF(ISNUMBER(W8),AND(W8&gt;=1,W8&lt;=10,W8=INT(W8)),FALSE)),U8*V8*W8,"")</f>
        <v/>
      </c>
      <c r="Y8" s="54" t="str">
        <f>IF(X8="","",IF(OR(U8&gt;=p_gmin,X8&gt;=p_ipr_crit),"Critique",IF(X8&gt;=p_ipr_act,"Élevée",IF(X8&gt;=p_ipr_watch,"Moyenne","Faible"))))</f>
        <v/>
      </c>
      <c r="Z8" s="57" t="str">
        <f>IF(X8="","",(L8-X8)/L8)</f>
        <v/>
      </c>
      <c r="AA8" s="54" t="str">
        <f>IF(AND(D8="",O8=""),"",IF(O8="",IF(N8="Oui","Action à définir",IF(N8="Non","Sans action","")),IF(R8="Annulée","Annulée",IF(R8="Réalisée",IF(X8="","À réévaluer","Réalisée"),IF(N(Q8)=0,"Échéance manquante",IF(Q8&lt;p_today,"En retard",IF(Q8-p_today&lt;=p_alert,"Échéance proche","Dans les délais")))))))</f>
        <v/>
      </c>
      <c r="AB8" s="58" t="str">
        <f>IF(AND(A8="",B8="",D8="",F8="",H8="",K8="",O8=""),"",IF(D8="","Mode de défaillance manquant",IF(AND(A8&lt;&gt;"",COUNTIF(am_num,A8)&gt;1),"N° en double",IF(F8="","Gravité G manquante",IF(NOT(IF(ISNUMBER(F8),AND(F8&gt;=1,F8&lt;=10,F8=INT(F8)),FALSE)),"G : entier de 1 à 10",IF(H8="","Occurrence O manquante",IF(NOT(IF(ISNUMBER(H8),AND(H8&gt;=1,H8&lt;=10,H8=INT(H8)),FALSE)),"O : entier de 1 à 10",IF(K8="","Détection D manquante",IF(NOT(IF(ISNUMBER(K8),AND(K8&gt;=1,K8&lt;=10,K8=INT(K8)),FALSE)),"D : entier de 1 à 10",IF(G8="","Cause manquante",IF(AND(O8&lt;&gt;"",P8=""),"Responsable manquant",IF(AND(R8&lt;&gt;"",O8=""),"Statut sans action",IF(AND(R8="Réalisée",N(S8)=0),"Date de réalisation manquante",IF(AND(T8&lt;&gt;"",IF(ISNUMBER(T8),T8&lt;0,TRUE)),"Coût invalide",IF(AND(COUNTBLANK(U8:W8)&gt;0,COUNTBLANK(U8:W8)&lt;3),"Cotation après action incomplète",IF(AND(COUNTBLANK(U8:W8)=0,X8=""),"G', O', D' : entiers de 1 à 10",IF(AND(X8&lt;&gt;"",X8&gt;L8),"IPR après action plus élevé","OK")))))))))))))))))</f>
        <v/>
      </c>
      <c r="AC8" s="59" t="str">
        <f>IF(OR(AA8="En retard",AA8="Échéance proche",AA8="Dans les délais",AA8="Échéance manquante",AA8="Action à définir",AA8="À réévaluer"),IF(OR(plan_who="",P8=plan_who),IF(N(Q8)&gt;0,Q8,99999)*1000+ROW(),""),"")</f>
        <v/>
      </c>
      <c r="AD8" s="59" t="str">
        <f>IF(L8="","",L8*1000+1000-ROW())</f>
        <v/>
      </c>
      <c r="AE8" s="59" t="str">
        <f>IF(IF(AA8="En retard",1,IF(AA8="Action à définir",2,IF(AA8="Échéance manquante",3,IF(AA8="Échéance proche",4,IF(AA8="À réévaluer",5,0)))))=0,"",IF(AA8="En retard",1,IF(AA8="Action à définir",2,IF(AA8="Échéance manquante",3,IF(AA8="Échéance proche",4,IF(AA8="À réévaluer",5,0)))))*100000000+IF(N(Q8)&gt;0,Q8,99999)*1000+ROW())</f>
        <v/>
      </c>
      <c r="AF8" s="59" t="str">
        <f>IF(X8&lt;&gt;"",X8,L8)</f>
        <v/>
      </c>
      <c r="AG8" s="59" t="str">
        <f>IF(X8&lt;&gt;"",Y8,IF(L8&lt;&gt;"",M8,""))</f>
        <v/>
      </c>
      <c r="AH8" s="59" t="str">
        <f>IF(L8="","",IF(X8&lt;&gt;"",U8,F8))</f>
        <v/>
      </c>
      <c r="AI8" s="59" t="str">
        <f>IF(L8="","",IF(X8&lt;&gt;"",V8,H8))</f>
        <v/>
      </c>
    </row>
    <row r="9" ht="30" customHeight="1">
      <c r="A9" s="50" t="n"/>
      <c r="B9" s="51" t="n"/>
      <c r="C9" s="51" t="n"/>
      <c r="D9" s="51" t="n"/>
      <c r="E9" s="51" t="n"/>
      <c r="F9" s="52" t="n"/>
      <c r="G9" s="51" t="n"/>
      <c r="H9" s="52" t="n"/>
      <c r="I9" s="51" t="n"/>
      <c r="J9" s="51" t="n"/>
      <c r="K9" s="52" t="n"/>
      <c r="L9" s="53" t="str">
        <f>IF(AND(IF(ISNUMBER(F9),AND(F9&gt;=1,F9&lt;=10,F9=INT(F9)),FALSE),IF(ISNUMBER(H9),AND(H9&gt;=1,H9&lt;=10,H9=INT(H9)),FALSE),IF(ISNUMBER(K9),AND(K9&gt;=1,K9&lt;=10,K9=INT(K9)),FALSE)),F9*H9*K9,"")</f>
        <v/>
      </c>
      <c r="M9" s="54" t="str">
        <f>IF(L9="",IF(D9="","","À coter"),IF(OR(F9&gt;=p_gmin,L9&gt;=p_ipr_crit),"Critique",IF(L9&gt;=p_ipr_act,"Élevée",IF(L9&gt;=p_ipr_watch,"Moyenne","Faible"))))</f>
        <v/>
      </c>
      <c r="N9" s="54" t="str">
        <f>IF(OR(M9="",M9="À coter"),"",IF(OR(M9="Critique",M9="Élevée"),"Oui","Non"))</f>
        <v/>
      </c>
      <c r="O9" s="51" t="n"/>
      <c r="P9" s="51" t="n"/>
      <c r="Q9" s="55" t="n"/>
      <c r="R9" s="50" t="n"/>
      <c r="S9" s="55" t="n"/>
      <c r="T9" s="56" t="n"/>
      <c r="U9" s="52" t="n"/>
      <c r="V9" s="52" t="n"/>
      <c r="W9" s="52" t="n"/>
      <c r="X9" s="53" t="str">
        <f>IF(AND(L9&lt;&gt;"",IF(ISNUMBER(U9),AND(U9&gt;=1,U9&lt;=10,U9=INT(U9)),FALSE),IF(ISNUMBER(V9),AND(V9&gt;=1,V9&lt;=10,V9=INT(V9)),FALSE),IF(ISNUMBER(W9),AND(W9&gt;=1,W9&lt;=10,W9=INT(W9)),FALSE)),U9*V9*W9,"")</f>
        <v/>
      </c>
      <c r="Y9" s="54" t="str">
        <f>IF(X9="","",IF(OR(U9&gt;=p_gmin,X9&gt;=p_ipr_crit),"Critique",IF(X9&gt;=p_ipr_act,"Élevée",IF(X9&gt;=p_ipr_watch,"Moyenne","Faible"))))</f>
        <v/>
      </c>
      <c r="Z9" s="57" t="str">
        <f>IF(X9="","",(L9-X9)/L9)</f>
        <v/>
      </c>
      <c r="AA9" s="54" t="str">
        <f>IF(AND(D9="",O9=""),"",IF(O9="",IF(N9="Oui","Action à définir",IF(N9="Non","Sans action","")),IF(R9="Annulée","Annulée",IF(R9="Réalisée",IF(X9="","À réévaluer","Réalisée"),IF(N(Q9)=0,"Échéance manquante",IF(Q9&lt;p_today,"En retard",IF(Q9-p_today&lt;=p_alert,"Échéance proche","Dans les délais")))))))</f>
        <v/>
      </c>
      <c r="AB9" s="58" t="str">
        <f>IF(AND(A9="",B9="",D9="",F9="",H9="",K9="",O9=""),"",IF(D9="","Mode de défaillance manquant",IF(AND(A9&lt;&gt;"",COUNTIF(am_num,A9)&gt;1),"N° en double",IF(F9="","Gravité G manquante",IF(NOT(IF(ISNUMBER(F9),AND(F9&gt;=1,F9&lt;=10,F9=INT(F9)),FALSE)),"G : entier de 1 à 10",IF(H9="","Occurrence O manquante",IF(NOT(IF(ISNUMBER(H9),AND(H9&gt;=1,H9&lt;=10,H9=INT(H9)),FALSE)),"O : entier de 1 à 10",IF(K9="","Détection D manquante",IF(NOT(IF(ISNUMBER(K9),AND(K9&gt;=1,K9&lt;=10,K9=INT(K9)),FALSE)),"D : entier de 1 à 10",IF(G9="","Cause manquante",IF(AND(O9&lt;&gt;"",P9=""),"Responsable manquant",IF(AND(R9&lt;&gt;"",O9=""),"Statut sans action",IF(AND(R9="Réalisée",N(S9)=0),"Date de réalisation manquante",IF(AND(T9&lt;&gt;"",IF(ISNUMBER(T9),T9&lt;0,TRUE)),"Coût invalide",IF(AND(COUNTBLANK(U9:W9)&gt;0,COUNTBLANK(U9:W9)&lt;3),"Cotation après action incomplète",IF(AND(COUNTBLANK(U9:W9)=0,X9=""),"G', O', D' : entiers de 1 à 10",IF(AND(X9&lt;&gt;"",X9&gt;L9),"IPR après action plus élevé","OK")))))))))))))))))</f>
        <v/>
      </c>
      <c r="AC9" s="59" t="str">
        <f>IF(OR(AA9="En retard",AA9="Échéance proche",AA9="Dans les délais",AA9="Échéance manquante",AA9="Action à définir",AA9="À réévaluer"),IF(OR(plan_who="",P9=plan_who),IF(N(Q9)&gt;0,Q9,99999)*1000+ROW(),""),"")</f>
        <v/>
      </c>
      <c r="AD9" s="59" t="str">
        <f>IF(L9="","",L9*1000+1000-ROW())</f>
        <v/>
      </c>
      <c r="AE9" s="59" t="str">
        <f>IF(IF(AA9="En retard",1,IF(AA9="Action à définir",2,IF(AA9="Échéance manquante",3,IF(AA9="Échéance proche",4,IF(AA9="À réévaluer",5,0)))))=0,"",IF(AA9="En retard",1,IF(AA9="Action à définir",2,IF(AA9="Échéance manquante",3,IF(AA9="Échéance proche",4,IF(AA9="À réévaluer",5,0)))))*100000000+IF(N(Q9)&gt;0,Q9,99999)*1000+ROW())</f>
        <v/>
      </c>
      <c r="AF9" s="59" t="str">
        <f>IF(X9&lt;&gt;"",X9,L9)</f>
        <v/>
      </c>
      <c r="AG9" s="59" t="str">
        <f>IF(X9&lt;&gt;"",Y9,IF(L9&lt;&gt;"",M9,""))</f>
        <v/>
      </c>
      <c r="AH9" s="59" t="str">
        <f>IF(L9="","",IF(X9&lt;&gt;"",U9,F9))</f>
        <v/>
      </c>
      <c r="AI9" s="59" t="str">
        <f>IF(L9="","",IF(X9&lt;&gt;"",V9,H9))</f>
        <v/>
      </c>
    </row>
    <row r="10" ht="30" customHeight="1">
      <c r="A10" s="50" t="n"/>
      <c r="B10" s="51" t="n"/>
      <c r="C10" s="51" t="n"/>
      <c r="D10" s="51" t="n"/>
      <c r="E10" s="51" t="n"/>
      <c r="F10" s="52" t="n"/>
      <c r="G10" s="51" t="n"/>
      <c r="H10" s="52" t="n"/>
      <c r="I10" s="51" t="n"/>
      <c r="J10" s="51" t="n"/>
      <c r="K10" s="52" t="n"/>
      <c r="L10" s="53" t="str">
        <f>IF(AND(IF(ISNUMBER(F10),AND(F10&gt;=1,F10&lt;=10,F10=INT(F10)),FALSE),IF(ISNUMBER(H10),AND(H10&gt;=1,H10&lt;=10,H10=INT(H10)),FALSE),IF(ISNUMBER(K10),AND(K10&gt;=1,K10&lt;=10,K10=INT(K10)),FALSE)),F10*H10*K10,"")</f>
        <v/>
      </c>
      <c r="M10" s="54" t="str">
        <f>IF(L10="",IF(D10="","","À coter"),IF(OR(F10&gt;=p_gmin,L10&gt;=p_ipr_crit),"Critique",IF(L10&gt;=p_ipr_act,"Élevée",IF(L10&gt;=p_ipr_watch,"Moyenne","Faible"))))</f>
        <v/>
      </c>
      <c r="N10" s="54" t="str">
        <f>IF(OR(M10="",M10="À coter"),"",IF(OR(M10="Critique",M10="Élevée"),"Oui","Non"))</f>
        <v/>
      </c>
      <c r="O10" s="51" t="n"/>
      <c r="P10" s="51" t="n"/>
      <c r="Q10" s="55" t="n"/>
      <c r="R10" s="50" t="n"/>
      <c r="S10" s="55" t="n"/>
      <c r="T10" s="56" t="n"/>
      <c r="U10" s="52" t="n"/>
      <c r="V10" s="52" t="n"/>
      <c r="W10" s="52" t="n"/>
      <c r="X10" s="53" t="str">
        <f>IF(AND(L10&lt;&gt;"",IF(ISNUMBER(U10),AND(U10&gt;=1,U10&lt;=10,U10=INT(U10)),FALSE),IF(ISNUMBER(V10),AND(V10&gt;=1,V10&lt;=10,V10=INT(V10)),FALSE),IF(ISNUMBER(W10),AND(W10&gt;=1,W10&lt;=10,W10=INT(W10)),FALSE)),U10*V10*W10,"")</f>
        <v/>
      </c>
      <c r="Y10" s="54" t="str">
        <f>IF(X10="","",IF(OR(U10&gt;=p_gmin,X10&gt;=p_ipr_crit),"Critique",IF(X10&gt;=p_ipr_act,"Élevée",IF(X10&gt;=p_ipr_watch,"Moyenne","Faible"))))</f>
        <v/>
      </c>
      <c r="Z10" s="57" t="str">
        <f>IF(X10="","",(L10-X10)/L10)</f>
        <v/>
      </c>
      <c r="AA10" s="54" t="str">
        <f>IF(AND(D10="",O10=""),"",IF(O10="",IF(N10="Oui","Action à définir",IF(N10="Non","Sans action","")),IF(R10="Annulée","Annulée",IF(R10="Réalisée",IF(X10="","À réévaluer","Réalisée"),IF(N(Q10)=0,"Échéance manquante",IF(Q10&lt;p_today,"En retard",IF(Q10-p_today&lt;=p_alert,"Échéance proche","Dans les délais")))))))</f>
        <v/>
      </c>
      <c r="AB10" s="58" t="str">
        <f>IF(AND(A10="",B10="",D10="",F10="",H10="",K10="",O10=""),"",IF(D10="","Mode de défaillance manquant",IF(AND(A10&lt;&gt;"",COUNTIF(am_num,A10)&gt;1),"N° en double",IF(F10="","Gravité G manquante",IF(NOT(IF(ISNUMBER(F10),AND(F10&gt;=1,F10&lt;=10,F10=INT(F10)),FALSE)),"G : entier de 1 à 10",IF(H10="","Occurrence O manquante",IF(NOT(IF(ISNUMBER(H10),AND(H10&gt;=1,H10&lt;=10,H10=INT(H10)),FALSE)),"O : entier de 1 à 10",IF(K10="","Détection D manquante",IF(NOT(IF(ISNUMBER(K10),AND(K10&gt;=1,K10&lt;=10,K10=INT(K10)),FALSE)),"D : entier de 1 à 10",IF(G10="","Cause manquante",IF(AND(O10&lt;&gt;"",P10=""),"Responsable manquant",IF(AND(R10&lt;&gt;"",O10=""),"Statut sans action",IF(AND(R10="Réalisée",N(S10)=0),"Date de réalisation manquante",IF(AND(T10&lt;&gt;"",IF(ISNUMBER(T10),T10&lt;0,TRUE)),"Coût invalide",IF(AND(COUNTBLANK(U10:W10)&gt;0,COUNTBLANK(U10:W10)&lt;3),"Cotation après action incomplète",IF(AND(COUNTBLANK(U10:W10)=0,X10=""),"G', O', D' : entiers de 1 à 10",IF(AND(X10&lt;&gt;"",X10&gt;L10),"IPR après action plus élevé","OK")))))))))))))))))</f>
        <v/>
      </c>
      <c r="AC10" s="59" t="str">
        <f>IF(OR(AA10="En retard",AA10="Échéance proche",AA10="Dans les délais",AA10="Échéance manquante",AA10="Action à définir",AA10="À réévaluer"),IF(OR(plan_who="",P10=plan_who),IF(N(Q10)&gt;0,Q10,99999)*1000+ROW(),""),"")</f>
        <v/>
      </c>
      <c r="AD10" s="59" t="str">
        <f>IF(L10="","",L10*1000+1000-ROW())</f>
        <v/>
      </c>
      <c r="AE10" s="59" t="str">
        <f>IF(IF(AA10="En retard",1,IF(AA10="Action à définir",2,IF(AA10="Échéance manquante",3,IF(AA10="Échéance proche",4,IF(AA10="À réévaluer",5,0)))))=0,"",IF(AA10="En retard",1,IF(AA10="Action à définir",2,IF(AA10="Échéance manquante",3,IF(AA10="Échéance proche",4,IF(AA10="À réévaluer",5,0)))))*100000000+IF(N(Q10)&gt;0,Q10,99999)*1000+ROW())</f>
        <v/>
      </c>
      <c r="AF10" s="59" t="str">
        <f>IF(X10&lt;&gt;"",X10,L10)</f>
        <v/>
      </c>
      <c r="AG10" s="59" t="str">
        <f>IF(X10&lt;&gt;"",Y10,IF(L10&lt;&gt;"",M10,""))</f>
        <v/>
      </c>
      <c r="AH10" s="59" t="str">
        <f>IF(L10="","",IF(X10&lt;&gt;"",U10,F10))</f>
        <v/>
      </c>
      <c r="AI10" s="59" t="str">
        <f>IF(L10="","",IF(X10&lt;&gt;"",V10,H10))</f>
        <v/>
      </c>
    </row>
    <row r="11" ht="30" customHeight="1">
      <c r="A11" s="50" t="n"/>
      <c r="B11" s="51" t="n"/>
      <c r="C11" s="51" t="n"/>
      <c r="D11" s="51" t="n"/>
      <c r="E11" s="51" t="n"/>
      <c r="F11" s="52" t="n"/>
      <c r="G11" s="51" t="n"/>
      <c r="H11" s="52" t="n"/>
      <c r="I11" s="51" t="n"/>
      <c r="J11" s="51" t="n"/>
      <c r="K11" s="52" t="n"/>
      <c r="L11" s="53" t="str">
        <f>IF(AND(IF(ISNUMBER(F11),AND(F11&gt;=1,F11&lt;=10,F11=INT(F11)),FALSE),IF(ISNUMBER(H11),AND(H11&gt;=1,H11&lt;=10,H11=INT(H11)),FALSE),IF(ISNUMBER(K11),AND(K11&gt;=1,K11&lt;=10,K11=INT(K11)),FALSE)),F11*H11*K11,"")</f>
        <v/>
      </c>
      <c r="M11" s="54" t="str">
        <f>IF(L11="",IF(D11="","","À coter"),IF(OR(F11&gt;=p_gmin,L11&gt;=p_ipr_crit),"Critique",IF(L11&gt;=p_ipr_act,"Élevée",IF(L11&gt;=p_ipr_watch,"Moyenne","Faible"))))</f>
        <v/>
      </c>
      <c r="N11" s="54" t="str">
        <f>IF(OR(M11="",M11="À coter"),"",IF(OR(M11="Critique",M11="Élevée"),"Oui","Non"))</f>
        <v/>
      </c>
      <c r="O11" s="51" t="n"/>
      <c r="P11" s="51" t="n"/>
      <c r="Q11" s="55" t="n"/>
      <c r="R11" s="50" t="n"/>
      <c r="S11" s="55" t="n"/>
      <c r="T11" s="56" t="n"/>
      <c r="U11" s="52" t="n"/>
      <c r="V11" s="52" t="n"/>
      <c r="W11" s="52" t="n"/>
      <c r="X11" s="53" t="str">
        <f>IF(AND(L11&lt;&gt;"",IF(ISNUMBER(U11),AND(U11&gt;=1,U11&lt;=10,U11=INT(U11)),FALSE),IF(ISNUMBER(V11),AND(V11&gt;=1,V11&lt;=10,V11=INT(V11)),FALSE),IF(ISNUMBER(W11),AND(W11&gt;=1,W11&lt;=10,W11=INT(W11)),FALSE)),U11*V11*W11,"")</f>
        <v/>
      </c>
      <c r="Y11" s="54" t="str">
        <f>IF(X11="","",IF(OR(U11&gt;=p_gmin,X11&gt;=p_ipr_crit),"Critique",IF(X11&gt;=p_ipr_act,"Élevée",IF(X11&gt;=p_ipr_watch,"Moyenne","Faible"))))</f>
        <v/>
      </c>
      <c r="Z11" s="57" t="str">
        <f>IF(X11="","",(L11-X11)/L11)</f>
        <v/>
      </c>
      <c r="AA11" s="54" t="str">
        <f>IF(AND(D11="",O11=""),"",IF(O11="",IF(N11="Oui","Action à définir",IF(N11="Non","Sans action","")),IF(R11="Annulée","Annulée",IF(R11="Réalisée",IF(X11="","À réévaluer","Réalisée"),IF(N(Q11)=0,"Échéance manquante",IF(Q11&lt;p_today,"En retard",IF(Q11-p_today&lt;=p_alert,"Échéance proche","Dans les délais")))))))</f>
        <v/>
      </c>
      <c r="AB11" s="58" t="str">
        <f>IF(AND(A11="",B11="",D11="",F11="",H11="",K11="",O11=""),"",IF(D11="","Mode de défaillance manquant",IF(AND(A11&lt;&gt;"",COUNTIF(am_num,A11)&gt;1),"N° en double",IF(F11="","Gravité G manquante",IF(NOT(IF(ISNUMBER(F11),AND(F11&gt;=1,F11&lt;=10,F11=INT(F11)),FALSE)),"G : entier de 1 à 10",IF(H11="","Occurrence O manquante",IF(NOT(IF(ISNUMBER(H11),AND(H11&gt;=1,H11&lt;=10,H11=INT(H11)),FALSE)),"O : entier de 1 à 10",IF(K11="","Détection D manquante",IF(NOT(IF(ISNUMBER(K11),AND(K11&gt;=1,K11&lt;=10,K11=INT(K11)),FALSE)),"D : entier de 1 à 10",IF(G11="","Cause manquante",IF(AND(O11&lt;&gt;"",P11=""),"Responsable manquant",IF(AND(R11&lt;&gt;"",O11=""),"Statut sans action",IF(AND(R11="Réalisée",N(S11)=0),"Date de réalisation manquante",IF(AND(T11&lt;&gt;"",IF(ISNUMBER(T11),T11&lt;0,TRUE)),"Coût invalide",IF(AND(COUNTBLANK(U11:W11)&gt;0,COUNTBLANK(U11:W11)&lt;3),"Cotation après action incomplète",IF(AND(COUNTBLANK(U11:W11)=0,X11=""),"G', O', D' : entiers de 1 à 10",IF(AND(X11&lt;&gt;"",X11&gt;L11),"IPR après action plus élevé","OK")))))))))))))))))</f>
        <v/>
      </c>
      <c r="AC11" s="59" t="str">
        <f>IF(OR(AA11="En retard",AA11="Échéance proche",AA11="Dans les délais",AA11="Échéance manquante",AA11="Action à définir",AA11="À réévaluer"),IF(OR(plan_who="",P11=plan_who),IF(N(Q11)&gt;0,Q11,99999)*1000+ROW(),""),"")</f>
        <v/>
      </c>
      <c r="AD11" s="59" t="str">
        <f>IF(L11="","",L11*1000+1000-ROW())</f>
        <v/>
      </c>
      <c r="AE11" s="59" t="str">
        <f>IF(IF(AA11="En retard",1,IF(AA11="Action à définir",2,IF(AA11="Échéance manquante",3,IF(AA11="Échéance proche",4,IF(AA11="À réévaluer",5,0)))))=0,"",IF(AA11="En retard",1,IF(AA11="Action à définir",2,IF(AA11="Échéance manquante",3,IF(AA11="Échéance proche",4,IF(AA11="À réévaluer",5,0)))))*100000000+IF(N(Q11)&gt;0,Q11,99999)*1000+ROW())</f>
        <v/>
      </c>
      <c r="AF11" s="59" t="str">
        <f>IF(X11&lt;&gt;"",X11,L11)</f>
        <v/>
      </c>
      <c r="AG11" s="59" t="str">
        <f>IF(X11&lt;&gt;"",Y11,IF(L11&lt;&gt;"",M11,""))</f>
        <v/>
      </c>
      <c r="AH11" s="59" t="str">
        <f>IF(L11="","",IF(X11&lt;&gt;"",U11,F11))</f>
        <v/>
      </c>
      <c r="AI11" s="59" t="str">
        <f>IF(L11="","",IF(X11&lt;&gt;"",V11,H11))</f>
        <v/>
      </c>
    </row>
    <row r="12" ht="30" customHeight="1">
      <c r="A12" s="50" t="n"/>
      <c r="B12" s="51" t="n"/>
      <c r="C12" s="51" t="n"/>
      <c r="D12" s="51" t="n"/>
      <c r="E12" s="51" t="n"/>
      <c r="F12" s="52" t="n"/>
      <c r="G12" s="51" t="n"/>
      <c r="H12" s="52" t="n"/>
      <c r="I12" s="51" t="n"/>
      <c r="J12" s="51" t="n"/>
      <c r="K12" s="52" t="n"/>
      <c r="L12" s="53" t="str">
        <f>IF(AND(IF(ISNUMBER(F12),AND(F12&gt;=1,F12&lt;=10,F12=INT(F12)),FALSE),IF(ISNUMBER(H12),AND(H12&gt;=1,H12&lt;=10,H12=INT(H12)),FALSE),IF(ISNUMBER(K12),AND(K12&gt;=1,K12&lt;=10,K12=INT(K12)),FALSE)),F12*H12*K12,"")</f>
        <v/>
      </c>
      <c r="M12" s="54" t="str">
        <f>IF(L12="",IF(D12="","","À coter"),IF(OR(F12&gt;=p_gmin,L12&gt;=p_ipr_crit),"Critique",IF(L12&gt;=p_ipr_act,"Élevée",IF(L12&gt;=p_ipr_watch,"Moyenne","Faible"))))</f>
        <v/>
      </c>
      <c r="N12" s="54" t="str">
        <f>IF(OR(M12="",M12="À coter"),"",IF(OR(M12="Critique",M12="Élevée"),"Oui","Non"))</f>
        <v/>
      </c>
      <c r="O12" s="51" t="n"/>
      <c r="P12" s="51" t="n"/>
      <c r="Q12" s="55" t="n"/>
      <c r="R12" s="50" t="n"/>
      <c r="S12" s="55" t="n"/>
      <c r="T12" s="56" t="n"/>
      <c r="U12" s="52" t="n"/>
      <c r="V12" s="52" t="n"/>
      <c r="W12" s="52" t="n"/>
      <c r="X12" s="53" t="str">
        <f>IF(AND(L12&lt;&gt;"",IF(ISNUMBER(U12),AND(U12&gt;=1,U12&lt;=10,U12=INT(U12)),FALSE),IF(ISNUMBER(V12),AND(V12&gt;=1,V12&lt;=10,V12=INT(V12)),FALSE),IF(ISNUMBER(W12),AND(W12&gt;=1,W12&lt;=10,W12=INT(W12)),FALSE)),U12*V12*W12,"")</f>
        <v/>
      </c>
      <c r="Y12" s="54" t="str">
        <f>IF(X12="","",IF(OR(U12&gt;=p_gmin,X12&gt;=p_ipr_crit),"Critique",IF(X12&gt;=p_ipr_act,"Élevée",IF(X12&gt;=p_ipr_watch,"Moyenne","Faible"))))</f>
        <v/>
      </c>
      <c r="Z12" s="57" t="str">
        <f>IF(X12="","",(L12-X12)/L12)</f>
        <v/>
      </c>
      <c r="AA12" s="54" t="str">
        <f>IF(AND(D12="",O12=""),"",IF(O12="",IF(N12="Oui","Action à définir",IF(N12="Non","Sans action","")),IF(R12="Annulée","Annulée",IF(R12="Réalisée",IF(X12="","À réévaluer","Réalisée"),IF(N(Q12)=0,"Échéance manquante",IF(Q12&lt;p_today,"En retard",IF(Q12-p_today&lt;=p_alert,"Échéance proche","Dans les délais")))))))</f>
        <v/>
      </c>
      <c r="AB12" s="58" t="str">
        <f>IF(AND(A12="",B12="",D12="",F12="",H12="",K12="",O12=""),"",IF(D12="","Mode de défaillance manquant",IF(AND(A12&lt;&gt;"",COUNTIF(am_num,A12)&gt;1),"N° en double",IF(F12="","Gravité G manquante",IF(NOT(IF(ISNUMBER(F12),AND(F12&gt;=1,F12&lt;=10,F12=INT(F12)),FALSE)),"G : entier de 1 à 10",IF(H12="","Occurrence O manquante",IF(NOT(IF(ISNUMBER(H12),AND(H12&gt;=1,H12&lt;=10,H12=INT(H12)),FALSE)),"O : entier de 1 à 10",IF(K12="","Détection D manquante",IF(NOT(IF(ISNUMBER(K12),AND(K12&gt;=1,K12&lt;=10,K12=INT(K12)),FALSE)),"D : entier de 1 à 10",IF(G12="","Cause manquante",IF(AND(O12&lt;&gt;"",P12=""),"Responsable manquant",IF(AND(R12&lt;&gt;"",O12=""),"Statut sans action",IF(AND(R12="Réalisée",N(S12)=0),"Date de réalisation manquante",IF(AND(T12&lt;&gt;"",IF(ISNUMBER(T12),T12&lt;0,TRUE)),"Coût invalide",IF(AND(COUNTBLANK(U12:W12)&gt;0,COUNTBLANK(U12:W12)&lt;3),"Cotation après action incomplète",IF(AND(COUNTBLANK(U12:W12)=0,X12=""),"G', O', D' : entiers de 1 à 10",IF(AND(X12&lt;&gt;"",X12&gt;L12),"IPR après action plus élevé","OK")))))))))))))))))</f>
        <v/>
      </c>
      <c r="AC12" s="59" t="str">
        <f>IF(OR(AA12="En retard",AA12="Échéance proche",AA12="Dans les délais",AA12="Échéance manquante",AA12="Action à définir",AA12="À réévaluer"),IF(OR(plan_who="",P12=plan_who),IF(N(Q12)&gt;0,Q12,99999)*1000+ROW(),""),"")</f>
        <v/>
      </c>
      <c r="AD12" s="59" t="str">
        <f>IF(L12="","",L12*1000+1000-ROW())</f>
        <v/>
      </c>
      <c r="AE12" s="59" t="str">
        <f>IF(IF(AA12="En retard",1,IF(AA12="Action à définir",2,IF(AA12="Échéance manquante",3,IF(AA12="Échéance proche",4,IF(AA12="À réévaluer",5,0)))))=0,"",IF(AA12="En retard",1,IF(AA12="Action à définir",2,IF(AA12="Échéance manquante",3,IF(AA12="Échéance proche",4,IF(AA12="À réévaluer",5,0)))))*100000000+IF(N(Q12)&gt;0,Q12,99999)*1000+ROW())</f>
        <v/>
      </c>
      <c r="AF12" s="59" t="str">
        <f>IF(X12&lt;&gt;"",X12,L12)</f>
        <v/>
      </c>
      <c r="AG12" s="59" t="str">
        <f>IF(X12&lt;&gt;"",Y12,IF(L12&lt;&gt;"",M12,""))</f>
        <v/>
      </c>
      <c r="AH12" s="59" t="str">
        <f>IF(L12="","",IF(X12&lt;&gt;"",U12,F12))</f>
        <v/>
      </c>
      <c r="AI12" s="59" t="str">
        <f>IF(L12="","",IF(X12&lt;&gt;"",V12,H12))</f>
        <v/>
      </c>
    </row>
    <row r="13" ht="30" customHeight="1">
      <c r="A13" s="50" t="n"/>
      <c r="B13" s="51" t="n"/>
      <c r="C13" s="51" t="n"/>
      <c r="D13" s="51" t="n"/>
      <c r="E13" s="51" t="n"/>
      <c r="F13" s="52" t="n"/>
      <c r="G13" s="51" t="n"/>
      <c r="H13" s="52" t="n"/>
      <c r="I13" s="51" t="n"/>
      <c r="J13" s="51" t="n"/>
      <c r="K13" s="52" t="n"/>
      <c r="L13" s="53" t="str">
        <f>IF(AND(IF(ISNUMBER(F13),AND(F13&gt;=1,F13&lt;=10,F13=INT(F13)),FALSE),IF(ISNUMBER(H13),AND(H13&gt;=1,H13&lt;=10,H13=INT(H13)),FALSE),IF(ISNUMBER(K13),AND(K13&gt;=1,K13&lt;=10,K13=INT(K13)),FALSE)),F13*H13*K13,"")</f>
        <v/>
      </c>
      <c r="M13" s="54" t="str">
        <f>IF(L13="",IF(D13="","","À coter"),IF(OR(F13&gt;=p_gmin,L13&gt;=p_ipr_crit),"Critique",IF(L13&gt;=p_ipr_act,"Élevée",IF(L13&gt;=p_ipr_watch,"Moyenne","Faible"))))</f>
        <v/>
      </c>
      <c r="N13" s="54" t="str">
        <f>IF(OR(M13="",M13="À coter"),"",IF(OR(M13="Critique",M13="Élevée"),"Oui","Non"))</f>
        <v/>
      </c>
      <c r="O13" s="51" t="n"/>
      <c r="P13" s="51" t="n"/>
      <c r="Q13" s="55" t="n"/>
      <c r="R13" s="50" t="n"/>
      <c r="S13" s="55" t="n"/>
      <c r="T13" s="56" t="n"/>
      <c r="U13" s="52" t="n"/>
      <c r="V13" s="52" t="n"/>
      <c r="W13" s="52" t="n"/>
      <c r="X13" s="53" t="str">
        <f>IF(AND(L13&lt;&gt;"",IF(ISNUMBER(U13),AND(U13&gt;=1,U13&lt;=10,U13=INT(U13)),FALSE),IF(ISNUMBER(V13),AND(V13&gt;=1,V13&lt;=10,V13=INT(V13)),FALSE),IF(ISNUMBER(W13),AND(W13&gt;=1,W13&lt;=10,W13=INT(W13)),FALSE)),U13*V13*W13,"")</f>
        <v/>
      </c>
      <c r="Y13" s="54" t="str">
        <f>IF(X13="","",IF(OR(U13&gt;=p_gmin,X13&gt;=p_ipr_crit),"Critique",IF(X13&gt;=p_ipr_act,"Élevée",IF(X13&gt;=p_ipr_watch,"Moyenne","Faible"))))</f>
        <v/>
      </c>
      <c r="Z13" s="57" t="str">
        <f>IF(X13="","",(L13-X13)/L13)</f>
        <v/>
      </c>
      <c r="AA13" s="54" t="str">
        <f>IF(AND(D13="",O13=""),"",IF(O13="",IF(N13="Oui","Action à définir",IF(N13="Non","Sans action","")),IF(R13="Annulée","Annulée",IF(R13="Réalisée",IF(X13="","À réévaluer","Réalisée"),IF(N(Q13)=0,"Échéance manquante",IF(Q13&lt;p_today,"En retard",IF(Q13-p_today&lt;=p_alert,"Échéance proche","Dans les délais")))))))</f>
        <v/>
      </c>
      <c r="AB13" s="58" t="str">
        <f>IF(AND(A13="",B13="",D13="",F13="",H13="",K13="",O13=""),"",IF(D13="","Mode de défaillance manquant",IF(AND(A13&lt;&gt;"",COUNTIF(am_num,A13)&gt;1),"N° en double",IF(F13="","Gravité G manquante",IF(NOT(IF(ISNUMBER(F13),AND(F13&gt;=1,F13&lt;=10,F13=INT(F13)),FALSE)),"G : entier de 1 à 10",IF(H13="","Occurrence O manquante",IF(NOT(IF(ISNUMBER(H13),AND(H13&gt;=1,H13&lt;=10,H13=INT(H13)),FALSE)),"O : entier de 1 à 10",IF(K13="","Détection D manquante",IF(NOT(IF(ISNUMBER(K13),AND(K13&gt;=1,K13&lt;=10,K13=INT(K13)),FALSE)),"D : entier de 1 à 10",IF(G13="","Cause manquante",IF(AND(O13&lt;&gt;"",P13=""),"Responsable manquant",IF(AND(R13&lt;&gt;"",O13=""),"Statut sans action",IF(AND(R13="Réalisée",N(S13)=0),"Date de réalisation manquante",IF(AND(T13&lt;&gt;"",IF(ISNUMBER(T13),T13&lt;0,TRUE)),"Coût invalide",IF(AND(COUNTBLANK(U13:W13)&gt;0,COUNTBLANK(U13:W13)&lt;3),"Cotation après action incomplète",IF(AND(COUNTBLANK(U13:W13)=0,X13=""),"G', O', D' : entiers de 1 à 10",IF(AND(X13&lt;&gt;"",X13&gt;L13),"IPR après action plus élevé","OK")))))))))))))))))</f>
        <v/>
      </c>
      <c r="AC13" s="59" t="str">
        <f>IF(OR(AA13="En retard",AA13="Échéance proche",AA13="Dans les délais",AA13="Échéance manquante",AA13="Action à définir",AA13="À réévaluer"),IF(OR(plan_who="",P13=plan_who),IF(N(Q13)&gt;0,Q13,99999)*1000+ROW(),""),"")</f>
        <v/>
      </c>
      <c r="AD13" s="59" t="str">
        <f>IF(L13="","",L13*1000+1000-ROW())</f>
        <v/>
      </c>
      <c r="AE13" s="59" t="str">
        <f>IF(IF(AA13="En retard",1,IF(AA13="Action à définir",2,IF(AA13="Échéance manquante",3,IF(AA13="Échéance proche",4,IF(AA13="À réévaluer",5,0)))))=0,"",IF(AA13="En retard",1,IF(AA13="Action à définir",2,IF(AA13="Échéance manquante",3,IF(AA13="Échéance proche",4,IF(AA13="À réévaluer",5,0)))))*100000000+IF(N(Q13)&gt;0,Q13,99999)*1000+ROW())</f>
        <v/>
      </c>
      <c r="AF13" s="59" t="str">
        <f>IF(X13&lt;&gt;"",X13,L13)</f>
        <v/>
      </c>
      <c r="AG13" s="59" t="str">
        <f>IF(X13&lt;&gt;"",Y13,IF(L13&lt;&gt;"",M13,""))</f>
        <v/>
      </c>
      <c r="AH13" s="59" t="str">
        <f>IF(L13="","",IF(X13&lt;&gt;"",U13,F13))</f>
        <v/>
      </c>
      <c r="AI13" s="59" t="str">
        <f>IF(L13="","",IF(X13&lt;&gt;"",V13,H13))</f>
        <v/>
      </c>
    </row>
    <row r="14" ht="30" customHeight="1">
      <c r="A14" s="50" t="n"/>
      <c r="B14" s="51" t="n"/>
      <c r="C14" s="51" t="n"/>
      <c r="D14" s="51" t="n"/>
      <c r="E14" s="51" t="n"/>
      <c r="F14" s="52" t="n"/>
      <c r="G14" s="51" t="n"/>
      <c r="H14" s="52" t="n"/>
      <c r="I14" s="51" t="n"/>
      <c r="J14" s="51" t="n"/>
      <c r="K14" s="52" t="n"/>
      <c r="L14" s="53" t="str">
        <f>IF(AND(IF(ISNUMBER(F14),AND(F14&gt;=1,F14&lt;=10,F14=INT(F14)),FALSE),IF(ISNUMBER(H14),AND(H14&gt;=1,H14&lt;=10,H14=INT(H14)),FALSE),IF(ISNUMBER(K14),AND(K14&gt;=1,K14&lt;=10,K14=INT(K14)),FALSE)),F14*H14*K14,"")</f>
        <v/>
      </c>
      <c r="M14" s="54" t="str">
        <f>IF(L14="",IF(D14="","","À coter"),IF(OR(F14&gt;=p_gmin,L14&gt;=p_ipr_crit),"Critique",IF(L14&gt;=p_ipr_act,"Élevée",IF(L14&gt;=p_ipr_watch,"Moyenne","Faible"))))</f>
        <v/>
      </c>
      <c r="N14" s="54" t="str">
        <f>IF(OR(M14="",M14="À coter"),"",IF(OR(M14="Critique",M14="Élevée"),"Oui","Non"))</f>
        <v/>
      </c>
      <c r="O14" s="51" t="n"/>
      <c r="P14" s="51" t="n"/>
      <c r="Q14" s="55" t="n"/>
      <c r="R14" s="50" t="n"/>
      <c r="S14" s="55" t="n"/>
      <c r="T14" s="56" t="n"/>
      <c r="U14" s="52" t="n"/>
      <c r="V14" s="52" t="n"/>
      <c r="W14" s="52" t="n"/>
      <c r="X14" s="53" t="str">
        <f>IF(AND(L14&lt;&gt;"",IF(ISNUMBER(U14),AND(U14&gt;=1,U14&lt;=10,U14=INT(U14)),FALSE),IF(ISNUMBER(V14),AND(V14&gt;=1,V14&lt;=10,V14=INT(V14)),FALSE),IF(ISNUMBER(W14),AND(W14&gt;=1,W14&lt;=10,W14=INT(W14)),FALSE)),U14*V14*W14,"")</f>
        <v/>
      </c>
      <c r="Y14" s="54" t="str">
        <f>IF(X14="","",IF(OR(U14&gt;=p_gmin,X14&gt;=p_ipr_crit),"Critique",IF(X14&gt;=p_ipr_act,"Élevée",IF(X14&gt;=p_ipr_watch,"Moyenne","Faible"))))</f>
        <v/>
      </c>
      <c r="Z14" s="57" t="str">
        <f>IF(X14="","",(L14-X14)/L14)</f>
        <v/>
      </c>
      <c r="AA14" s="54" t="str">
        <f>IF(AND(D14="",O14=""),"",IF(O14="",IF(N14="Oui","Action à définir",IF(N14="Non","Sans action","")),IF(R14="Annulée","Annulée",IF(R14="Réalisée",IF(X14="","À réévaluer","Réalisée"),IF(N(Q14)=0,"Échéance manquante",IF(Q14&lt;p_today,"En retard",IF(Q14-p_today&lt;=p_alert,"Échéance proche","Dans les délais")))))))</f>
        <v/>
      </c>
      <c r="AB14" s="58" t="str">
        <f>IF(AND(A14="",B14="",D14="",F14="",H14="",K14="",O14=""),"",IF(D14="","Mode de défaillance manquant",IF(AND(A14&lt;&gt;"",COUNTIF(am_num,A14)&gt;1),"N° en double",IF(F14="","Gravité G manquante",IF(NOT(IF(ISNUMBER(F14),AND(F14&gt;=1,F14&lt;=10,F14=INT(F14)),FALSE)),"G : entier de 1 à 10",IF(H14="","Occurrence O manquante",IF(NOT(IF(ISNUMBER(H14),AND(H14&gt;=1,H14&lt;=10,H14=INT(H14)),FALSE)),"O : entier de 1 à 10",IF(K14="","Détection D manquante",IF(NOT(IF(ISNUMBER(K14),AND(K14&gt;=1,K14&lt;=10,K14=INT(K14)),FALSE)),"D : entier de 1 à 10",IF(G14="","Cause manquante",IF(AND(O14&lt;&gt;"",P14=""),"Responsable manquant",IF(AND(R14&lt;&gt;"",O14=""),"Statut sans action",IF(AND(R14="Réalisée",N(S14)=0),"Date de réalisation manquante",IF(AND(T14&lt;&gt;"",IF(ISNUMBER(T14),T14&lt;0,TRUE)),"Coût invalide",IF(AND(COUNTBLANK(U14:W14)&gt;0,COUNTBLANK(U14:W14)&lt;3),"Cotation après action incomplète",IF(AND(COUNTBLANK(U14:W14)=0,X14=""),"G', O', D' : entiers de 1 à 10",IF(AND(X14&lt;&gt;"",X14&gt;L14),"IPR après action plus élevé","OK")))))))))))))))))</f>
        <v/>
      </c>
      <c r="AC14" s="59" t="str">
        <f>IF(OR(AA14="En retard",AA14="Échéance proche",AA14="Dans les délais",AA14="Échéance manquante",AA14="Action à définir",AA14="À réévaluer"),IF(OR(plan_who="",P14=plan_who),IF(N(Q14)&gt;0,Q14,99999)*1000+ROW(),""),"")</f>
        <v/>
      </c>
      <c r="AD14" s="59" t="str">
        <f>IF(L14="","",L14*1000+1000-ROW())</f>
        <v/>
      </c>
      <c r="AE14" s="59" t="str">
        <f>IF(IF(AA14="En retard",1,IF(AA14="Action à définir",2,IF(AA14="Échéance manquante",3,IF(AA14="Échéance proche",4,IF(AA14="À réévaluer",5,0)))))=0,"",IF(AA14="En retard",1,IF(AA14="Action à définir",2,IF(AA14="Échéance manquante",3,IF(AA14="Échéance proche",4,IF(AA14="À réévaluer",5,0)))))*100000000+IF(N(Q14)&gt;0,Q14,99999)*1000+ROW())</f>
        <v/>
      </c>
      <c r="AF14" s="59" t="str">
        <f>IF(X14&lt;&gt;"",X14,L14)</f>
        <v/>
      </c>
      <c r="AG14" s="59" t="str">
        <f>IF(X14&lt;&gt;"",Y14,IF(L14&lt;&gt;"",M14,""))</f>
        <v/>
      </c>
      <c r="AH14" s="59" t="str">
        <f>IF(L14="","",IF(X14&lt;&gt;"",U14,F14))</f>
        <v/>
      </c>
      <c r="AI14" s="59" t="str">
        <f>IF(L14="","",IF(X14&lt;&gt;"",V14,H14))</f>
        <v/>
      </c>
    </row>
    <row r="15" ht="30" customHeight="1">
      <c r="A15" s="50" t="n"/>
      <c r="B15" s="51" t="n"/>
      <c r="C15" s="51" t="n"/>
      <c r="D15" s="51" t="n"/>
      <c r="E15" s="51" t="n"/>
      <c r="F15" s="52" t="n"/>
      <c r="G15" s="51" t="n"/>
      <c r="H15" s="52" t="n"/>
      <c r="I15" s="51" t="n"/>
      <c r="J15" s="51" t="n"/>
      <c r="K15" s="52" t="n"/>
      <c r="L15" s="53" t="str">
        <f>IF(AND(IF(ISNUMBER(F15),AND(F15&gt;=1,F15&lt;=10,F15=INT(F15)),FALSE),IF(ISNUMBER(H15),AND(H15&gt;=1,H15&lt;=10,H15=INT(H15)),FALSE),IF(ISNUMBER(K15),AND(K15&gt;=1,K15&lt;=10,K15=INT(K15)),FALSE)),F15*H15*K15,"")</f>
        <v/>
      </c>
      <c r="M15" s="54" t="str">
        <f>IF(L15="",IF(D15="","","À coter"),IF(OR(F15&gt;=p_gmin,L15&gt;=p_ipr_crit),"Critique",IF(L15&gt;=p_ipr_act,"Élevée",IF(L15&gt;=p_ipr_watch,"Moyenne","Faible"))))</f>
        <v/>
      </c>
      <c r="N15" s="54" t="str">
        <f>IF(OR(M15="",M15="À coter"),"",IF(OR(M15="Critique",M15="Élevée"),"Oui","Non"))</f>
        <v/>
      </c>
      <c r="O15" s="51" t="n"/>
      <c r="P15" s="51" t="n"/>
      <c r="Q15" s="55" t="n"/>
      <c r="R15" s="50" t="n"/>
      <c r="S15" s="55" t="n"/>
      <c r="T15" s="56" t="n"/>
      <c r="U15" s="52" t="n"/>
      <c r="V15" s="52" t="n"/>
      <c r="W15" s="52" t="n"/>
      <c r="X15" s="53" t="str">
        <f>IF(AND(L15&lt;&gt;"",IF(ISNUMBER(U15),AND(U15&gt;=1,U15&lt;=10,U15=INT(U15)),FALSE),IF(ISNUMBER(V15),AND(V15&gt;=1,V15&lt;=10,V15=INT(V15)),FALSE),IF(ISNUMBER(W15),AND(W15&gt;=1,W15&lt;=10,W15=INT(W15)),FALSE)),U15*V15*W15,"")</f>
        <v/>
      </c>
      <c r="Y15" s="54" t="str">
        <f>IF(X15="","",IF(OR(U15&gt;=p_gmin,X15&gt;=p_ipr_crit),"Critique",IF(X15&gt;=p_ipr_act,"Élevée",IF(X15&gt;=p_ipr_watch,"Moyenne","Faible"))))</f>
        <v/>
      </c>
      <c r="Z15" s="57" t="str">
        <f>IF(X15="","",(L15-X15)/L15)</f>
        <v/>
      </c>
      <c r="AA15" s="54" t="str">
        <f>IF(AND(D15="",O15=""),"",IF(O15="",IF(N15="Oui","Action à définir",IF(N15="Non","Sans action","")),IF(R15="Annulée","Annulée",IF(R15="Réalisée",IF(X15="","À réévaluer","Réalisée"),IF(N(Q15)=0,"Échéance manquante",IF(Q15&lt;p_today,"En retard",IF(Q15-p_today&lt;=p_alert,"Échéance proche","Dans les délais")))))))</f>
        <v/>
      </c>
      <c r="AB15" s="58" t="str">
        <f>IF(AND(A15="",B15="",D15="",F15="",H15="",K15="",O15=""),"",IF(D15="","Mode de défaillance manquant",IF(AND(A15&lt;&gt;"",COUNTIF(am_num,A15)&gt;1),"N° en double",IF(F15="","Gravité G manquante",IF(NOT(IF(ISNUMBER(F15),AND(F15&gt;=1,F15&lt;=10,F15=INT(F15)),FALSE)),"G : entier de 1 à 10",IF(H15="","Occurrence O manquante",IF(NOT(IF(ISNUMBER(H15),AND(H15&gt;=1,H15&lt;=10,H15=INT(H15)),FALSE)),"O : entier de 1 à 10",IF(K15="","Détection D manquante",IF(NOT(IF(ISNUMBER(K15),AND(K15&gt;=1,K15&lt;=10,K15=INT(K15)),FALSE)),"D : entier de 1 à 10",IF(G15="","Cause manquante",IF(AND(O15&lt;&gt;"",P15=""),"Responsable manquant",IF(AND(R15&lt;&gt;"",O15=""),"Statut sans action",IF(AND(R15="Réalisée",N(S15)=0),"Date de réalisation manquante",IF(AND(T15&lt;&gt;"",IF(ISNUMBER(T15),T15&lt;0,TRUE)),"Coût invalide",IF(AND(COUNTBLANK(U15:W15)&gt;0,COUNTBLANK(U15:W15)&lt;3),"Cotation après action incomplète",IF(AND(COUNTBLANK(U15:W15)=0,X15=""),"G', O', D' : entiers de 1 à 10",IF(AND(X15&lt;&gt;"",X15&gt;L15),"IPR après action plus élevé","OK")))))))))))))))))</f>
        <v/>
      </c>
      <c r="AC15" s="59" t="str">
        <f>IF(OR(AA15="En retard",AA15="Échéance proche",AA15="Dans les délais",AA15="Échéance manquante",AA15="Action à définir",AA15="À réévaluer"),IF(OR(plan_who="",P15=plan_who),IF(N(Q15)&gt;0,Q15,99999)*1000+ROW(),""),"")</f>
        <v/>
      </c>
      <c r="AD15" s="59" t="str">
        <f>IF(L15="","",L15*1000+1000-ROW())</f>
        <v/>
      </c>
      <c r="AE15" s="59" t="str">
        <f>IF(IF(AA15="En retard",1,IF(AA15="Action à définir",2,IF(AA15="Échéance manquante",3,IF(AA15="Échéance proche",4,IF(AA15="À réévaluer",5,0)))))=0,"",IF(AA15="En retard",1,IF(AA15="Action à définir",2,IF(AA15="Échéance manquante",3,IF(AA15="Échéance proche",4,IF(AA15="À réévaluer",5,0)))))*100000000+IF(N(Q15)&gt;0,Q15,99999)*1000+ROW())</f>
        <v/>
      </c>
      <c r="AF15" s="59" t="str">
        <f>IF(X15&lt;&gt;"",X15,L15)</f>
        <v/>
      </c>
      <c r="AG15" s="59" t="str">
        <f>IF(X15&lt;&gt;"",Y15,IF(L15&lt;&gt;"",M15,""))</f>
        <v/>
      </c>
      <c r="AH15" s="59" t="str">
        <f>IF(L15="","",IF(X15&lt;&gt;"",U15,F15))</f>
        <v/>
      </c>
      <c r="AI15" s="59" t="str">
        <f>IF(L15="","",IF(X15&lt;&gt;"",V15,H15))</f>
        <v/>
      </c>
    </row>
    <row r="16" ht="30" customHeight="1">
      <c r="A16" s="50" t="n"/>
      <c r="B16" s="51" t="n"/>
      <c r="C16" s="51" t="n"/>
      <c r="D16" s="51" t="n"/>
      <c r="E16" s="51" t="n"/>
      <c r="F16" s="52" t="n"/>
      <c r="G16" s="51" t="n"/>
      <c r="H16" s="52" t="n"/>
      <c r="I16" s="51" t="n"/>
      <c r="J16" s="51" t="n"/>
      <c r="K16" s="52" t="n"/>
      <c r="L16" s="53" t="str">
        <f>IF(AND(IF(ISNUMBER(F16),AND(F16&gt;=1,F16&lt;=10,F16=INT(F16)),FALSE),IF(ISNUMBER(H16),AND(H16&gt;=1,H16&lt;=10,H16=INT(H16)),FALSE),IF(ISNUMBER(K16),AND(K16&gt;=1,K16&lt;=10,K16=INT(K16)),FALSE)),F16*H16*K16,"")</f>
        <v/>
      </c>
      <c r="M16" s="54" t="str">
        <f>IF(L16="",IF(D16="","","À coter"),IF(OR(F16&gt;=p_gmin,L16&gt;=p_ipr_crit),"Critique",IF(L16&gt;=p_ipr_act,"Élevée",IF(L16&gt;=p_ipr_watch,"Moyenne","Faible"))))</f>
        <v/>
      </c>
      <c r="N16" s="54" t="str">
        <f>IF(OR(M16="",M16="À coter"),"",IF(OR(M16="Critique",M16="Élevée"),"Oui","Non"))</f>
        <v/>
      </c>
      <c r="O16" s="51" t="n"/>
      <c r="P16" s="51" t="n"/>
      <c r="Q16" s="55" t="n"/>
      <c r="R16" s="50" t="n"/>
      <c r="S16" s="55" t="n"/>
      <c r="T16" s="56" t="n"/>
      <c r="U16" s="52" t="n"/>
      <c r="V16" s="52" t="n"/>
      <c r="W16" s="52" t="n"/>
      <c r="X16" s="53" t="str">
        <f>IF(AND(L16&lt;&gt;"",IF(ISNUMBER(U16),AND(U16&gt;=1,U16&lt;=10,U16=INT(U16)),FALSE),IF(ISNUMBER(V16),AND(V16&gt;=1,V16&lt;=10,V16=INT(V16)),FALSE),IF(ISNUMBER(W16),AND(W16&gt;=1,W16&lt;=10,W16=INT(W16)),FALSE)),U16*V16*W16,"")</f>
        <v/>
      </c>
      <c r="Y16" s="54" t="str">
        <f>IF(X16="","",IF(OR(U16&gt;=p_gmin,X16&gt;=p_ipr_crit),"Critique",IF(X16&gt;=p_ipr_act,"Élevée",IF(X16&gt;=p_ipr_watch,"Moyenne","Faible"))))</f>
        <v/>
      </c>
      <c r="Z16" s="57" t="str">
        <f>IF(X16="","",(L16-X16)/L16)</f>
        <v/>
      </c>
      <c r="AA16" s="54" t="str">
        <f>IF(AND(D16="",O16=""),"",IF(O16="",IF(N16="Oui","Action à définir",IF(N16="Non","Sans action","")),IF(R16="Annulée","Annulée",IF(R16="Réalisée",IF(X16="","À réévaluer","Réalisée"),IF(N(Q16)=0,"Échéance manquante",IF(Q16&lt;p_today,"En retard",IF(Q16-p_today&lt;=p_alert,"Échéance proche","Dans les délais")))))))</f>
        <v/>
      </c>
      <c r="AB16" s="58" t="str">
        <f>IF(AND(A16="",B16="",D16="",F16="",H16="",K16="",O16=""),"",IF(D16="","Mode de défaillance manquant",IF(AND(A16&lt;&gt;"",COUNTIF(am_num,A16)&gt;1),"N° en double",IF(F16="","Gravité G manquante",IF(NOT(IF(ISNUMBER(F16),AND(F16&gt;=1,F16&lt;=10,F16=INT(F16)),FALSE)),"G : entier de 1 à 10",IF(H16="","Occurrence O manquante",IF(NOT(IF(ISNUMBER(H16),AND(H16&gt;=1,H16&lt;=10,H16=INT(H16)),FALSE)),"O : entier de 1 à 10",IF(K16="","Détection D manquante",IF(NOT(IF(ISNUMBER(K16),AND(K16&gt;=1,K16&lt;=10,K16=INT(K16)),FALSE)),"D : entier de 1 à 10",IF(G16="","Cause manquante",IF(AND(O16&lt;&gt;"",P16=""),"Responsable manquant",IF(AND(R16&lt;&gt;"",O16=""),"Statut sans action",IF(AND(R16="Réalisée",N(S16)=0),"Date de réalisation manquante",IF(AND(T16&lt;&gt;"",IF(ISNUMBER(T16),T16&lt;0,TRUE)),"Coût invalide",IF(AND(COUNTBLANK(U16:W16)&gt;0,COUNTBLANK(U16:W16)&lt;3),"Cotation après action incomplète",IF(AND(COUNTBLANK(U16:W16)=0,X16=""),"G', O', D' : entiers de 1 à 10",IF(AND(X16&lt;&gt;"",X16&gt;L16),"IPR après action plus élevé","OK")))))))))))))))))</f>
        <v/>
      </c>
      <c r="AC16" s="59" t="str">
        <f>IF(OR(AA16="En retard",AA16="Échéance proche",AA16="Dans les délais",AA16="Échéance manquante",AA16="Action à définir",AA16="À réévaluer"),IF(OR(plan_who="",P16=plan_who),IF(N(Q16)&gt;0,Q16,99999)*1000+ROW(),""),"")</f>
        <v/>
      </c>
      <c r="AD16" s="59" t="str">
        <f>IF(L16="","",L16*1000+1000-ROW())</f>
        <v/>
      </c>
      <c r="AE16" s="59" t="str">
        <f>IF(IF(AA16="En retard",1,IF(AA16="Action à définir",2,IF(AA16="Échéance manquante",3,IF(AA16="Échéance proche",4,IF(AA16="À réévaluer",5,0)))))=0,"",IF(AA16="En retard",1,IF(AA16="Action à définir",2,IF(AA16="Échéance manquante",3,IF(AA16="Échéance proche",4,IF(AA16="À réévaluer",5,0)))))*100000000+IF(N(Q16)&gt;0,Q16,99999)*1000+ROW())</f>
        <v/>
      </c>
      <c r="AF16" s="59" t="str">
        <f>IF(X16&lt;&gt;"",X16,L16)</f>
        <v/>
      </c>
      <c r="AG16" s="59" t="str">
        <f>IF(X16&lt;&gt;"",Y16,IF(L16&lt;&gt;"",M16,""))</f>
        <v/>
      </c>
      <c r="AH16" s="59" t="str">
        <f>IF(L16="","",IF(X16&lt;&gt;"",U16,F16))</f>
        <v/>
      </c>
      <c r="AI16" s="59" t="str">
        <f>IF(L16="","",IF(X16&lt;&gt;"",V16,H16))</f>
        <v/>
      </c>
    </row>
    <row r="17" ht="30" customHeight="1">
      <c r="A17" s="50" t="n"/>
      <c r="B17" s="51" t="n"/>
      <c r="C17" s="51" t="n"/>
      <c r="D17" s="51" t="n"/>
      <c r="E17" s="51" t="n"/>
      <c r="F17" s="52" t="n"/>
      <c r="G17" s="51" t="n"/>
      <c r="H17" s="52" t="n"/>
      <c r="I17" s="51" t="n"/>
      <c r="J17" s="51" t="n"/>
      <c r="K17" s="52" t="n"/>
      <c r="L17" s="53" t="str">
        <f>IF(AND(IF(ISNUMBER(F17),AND(F17&gt;=1,F17&lt;=10,F17=INT(F17)),FALSE),IF(ISNUMBER(H17),AND(H17&gt;=1,H17&lt;=10,H17=INT(H17)),FALSE),IF(ISNUMBER(K17),AND(K17&gt;=1,K17&lt;=10,K17=INT(K17)),FALSE)),F17*H17*K17,"")</f>
        <v/>
      </c>
      <c r="M17" s="54" t="str">
        <f>IF(L17="",IF(D17="","","À coter"),IF(OR(F17&gt;=p_gmin,L17&gt;=p_ipr_crit),"Critique",IF(L17&gt;=p_ipr_act,"Élevée",IF(L17&gt;=p_ipr_watch,"Moyenne","Faible"))))</f>
        <v/>
      </c>
      <c r="N17" s="54" t="str">
        <f>IF(OR(M17="",M17="À coter"),"",IF(OR(M17="Critique",M17="Élevée"),"Oui","Non"))</f>
        <v/>
      </c>
      <c r="O17" s="51" t="n"/>
      <c r="P17" s="51" t="n"/>
      <c r="Q17" s="55" t="n"/>
      <c r="R17" s="50" t="n"/>
      <c r="S17" s="55" t="n"/>
      <c r="T17" s="56" t="n"/>
      <c r="U17" s="52" t="n"/>
      <c r="V17" s="52" t="n"/>
      <c r="W17" s="52" t="n"/>
      <c r="X17" s="53" t="str">
        <f>IF(AND(L17&lt;&gt;"",IF(ISNUMBER(U17),AND(U17&gt;=1,U17&lt;=10,U17=INT(U17)),FALSE),IF(ISNUMBER(V17),AND(V17&gt;=1,V17&lt;=10,V17=INT(V17)),FALSE),IF(ISNUMBER(W17),AND(W17&gt;=1,W17&lt;=10,W17=INT(W17)),FALSE)),U17*V17*W17,"")</f>
        <v/>
      </c>
      <c r="Y17" s="54" t="str">
        <f>IF(X17="","",IF(OR(U17&gt;=p_gmin,X17&gt;=p_ipr_crit),"Critique",IF(X17&gt;=p_ipr_act,"Élevée",IF(X17&gt;=p_ipr_watch,"Moyenne","Faible"))))</f>
        <v/>
      </c>
      <c r="Z17" s="57" t="str">
        <f>IF(X17="","",(L17-X17)/L17)</f>
        <v/>
      </c>
      <c r="AA17" s="54" t="str">
        <f>IF(AND(D17="",O17=""),"",IF(O17="",IF(N17="Oui","Action à définir",IF(N17="Non","Sans action","")),IF(R17="Annulée","Annulée",IF(R17="Réalisée",IF(X17="","À réévaluer","Réalisée"),IF(N(Q17)=0,"Échéance manquante",IF(Q17&lt;p_today,"En retard",IF(Q17-p_today&lt;=p_alert,"Échéance proche","Dans les délais")))))))</f>
        <v/>
      </c>
      <c r="AB17" s="58" t="str">
        <f>IF(AND(A17="",B17="",D17="",F17="",H17="",K17="",O17=""),"",IF(D17="","Mode de défaillance manquant",IF(AND(A17&lt;&gt;"",COUNTIF(am_num,A17)&gt;1),"N° en double",IF(F17="","Gravité G manquante",IF(NOT(IF(ISNUMBER(F17),AND(F17&gt;=1,F17&lt;=10,F17=INT(F17)),FALSE)),"G : entier de 1 à 10",IF(H17="","Occurrence O manquante",IF(NOT(IF(ISNUMBER(H17),AND(H17&gt;=1,H17&lt;=10,H17=INT(H17)),FALSE)),"O : entier de 1 à 10",IF(K17="","Détection D manquante",IF(NOT(IF(ISNUMBER(K17),AND(K17&gt;=1,K17&lt;=10,K17=INT(K17)),FALSE)),"D : entier de 1 à 10",IF(G17="","Cause manquante",IF(AND(O17&lt;&gt;"",P17=""),"Responsable manquant",IF(AND(R17&lt;&gt;"",O17=""),"Statut sans action",IF(AND(R17="Réalisée",N(S17)=0),"Date de réalisation manquante",IF(AND(T17&lt;&gt;"",IF(ISNUMBER(T17),T17&lt;0,TRUE)),"Coût invalide",IF(AND(COUNTBLANK(U17:W17)&gt;0,COUNTBLANK(U17:W17)&lt;3),"Cotation après action incomplète",IF(AND(COUNTBLANK(U17:W17)=0,X17=""),"G', O', D' : entiers de 1 à 10",IF(AND(X17&lt;&gt;"",X17&gt;L17),"IPR après action plus élevé","OK")))))))))))))))))</f>
        <v/>
      </c>
      <c r="AC17" s="59" t="str">
        <f>IF(OR(AA17="En retard",AA17="Échéance proche",AA17="Dans les délais",AA17="Échéance manquante",AA17="Action à définir",AA17="À réévaluer"),IF(OR(plan_who="",P17=plan_who),IF(N(Q17)&gt;0,Q17,99999)*1000+ROW(),""),"")</f>
        <v/>
      </c>
      <c r="AD17" s="59" t="str">
        <f>IF(L17="","",L17*1000+1000-ROW())</f>
        <v/>
      </c>
      <c r="AE17" s="59" t="str">
        <f>IF(IF(AA17="En retard",1,IF(AA17="Action à définir",2,IF(AA17="Échéance manquante",3,IF(AA17="Échéance proche",4,IF(AA17="À réévaluer",5,0)))))=0,"",IF(AA17="En retard",1,IF(AA17="Action à définir",2,IF(AA17="Échéance manquante",3,IF(AA17="Échéance proche",4,IF(AA17="À réévaluer",5,0)))))*100000000+IF(N(Q17)&gt;0,Q17,99999)*1000+ROW())</f>
        <v/>
      </c>
      <c r="AF17" s="59" t="str">
        <f>IF(X17&lt;&gt;"",X17,L17)</f>
        <v/>
      </c>
      <c r="AG17" s="59" t="str">
        <f>IF(X17&lt;&gt;"",Y17,IF(L17&lt;&gt;"",M17,""))</f>
        <v/>
      </c>
      <c r="AH17" s="59" t="str">
        <f>IF(L17="","",IF(X17&lt;&gt;"",U17,F17))</f>
        <v/>
      </c>
      <c r="AI17" s="59" t="str">
        <f>IF(L17="","",IF(X17&lt;&gt;"",V17,H17))</f>
        <v/>
      </c>
    </row>
    <row r="18" ht="30" customHeight="1">
      <c r="A18" s="50" t="n"/>
      <c r="B18" s="51" t="n"/>
      <c r="C18" s="51" t="n"/>
      <c r="D18" s="51" t="n"/>
      <c r="E18" s="51" t="n"/>
      <c r="F18" s="52" t="n"/>
      <c r="G18" s="51" t="n"/>
      <c r="H18" s="52" t="n"/>
      <c r="I18" s="51" t="n"/>
      <c r="J18" s="51" t="n"/>
      <c r="K18" s="52" t="n"/>
      <c r="L18" s="53" t="str">
        <f>IF(AND(IF(ISNUMBER(F18),AND(F18&gt;=1,F18&lt;=10,F18=INT(F18)),FALSE),IF(ISNUMBER(H18),AND(H18&gt;=1,H18&lt;=10,H18=INT(H18)),FALSE),IF(ISNUMBER(K18),AND(K18&gt;=1,K18&lt;=10,K18=INT(K18)),FALSE)),F18*H18*K18,"")</f>
        <v/>
      </c>
      <c r="M18" s="54" t="str">
        <f>IF(L18="",IF(D18="","","À coter"),IF(OR(F18&gt;=p_gmin,L18&gt;=p_ipr_crit),"Critique",IF(L18&gt;=p_ipr_act,"Élevée",IF(L18&gt;=p_ipr_watch,"Moyenne","Faible"))))</f>
        <v/>
      </c>
      <c r="N18" s="54" t="str">
        <f>IF(OR(M18="",M18="À coter"),"",IF(OR(M18="Critique",M18="Élevée"),"Oui","Non"))</f>
        <v/>
      </c>
      <c r="O18" s="51" t="n"/>
      <c r="P18" s="51" t="n"/>
      <c r="Q18" s="55" t="n"/>
      <c r="R18" s="50" t="n"/>
      <c r="S18" s="55" t="n"/>
      <c r="T18" s="56" t="n"/>
      <c r="U18" s="52" t="n"/>
      <c r="V18" s="52" t="n"/>
      <c r="W18" s="52" t="n"/>
      <c r="X18" s="53" t="str">
        <f>IF(AND(L18&lt;&gt;"",IF(ISNUMBER(U18),AND(U18&gt;=1,U18&lt;=10,U18=INT(U18)),FALSE),IF(ISNUMBER(V18),AND(V18&gt;=1,V18&lt;=10,V18=INT(V18)),FALSE),IF(ISNUMBER(W18),AND(W18&gt;=1,W18&lt;=10,W18=INT(W18)),FALSE)),U18*V18*W18,"")</f>
        <v/>
      </c>
      <c r="Y18" s="54" t="str">
        <f>IF(X18="","",IF(OR(U18&gt;=p_gmin,X18&gt;=p_ipr_crit),"Critique",IF(X18&gt;=p_ipr_act,"Élevée",IF(X18&gt;=p_ipr_watch,"Moyenne","Faible"))))</f>
        <v/>
      </c>
      <c r="Z18" s="57" t="str">
        <f>IF(X18="","",(L18-X18)/L18)</f>
        <v/>
      </c>
      <c r="AA18" s="54" t="str">
        <f>IF(AND(D18="",O18=""),"",IF(O18="",IF(N18="Oui","Action à définir",IF(N18="Non","Sans action","")),IF(R18="Annulée","Annulée",IF(R18="Réalisée",IF(X18="","À réévaluer","Réalisée"),IF(N(Q18)=0,"Échéance manquante",IF(Q18&lt;p_today,"En retard",IF(Q18-p_today&lt;=p_alert,"Échéance proche","Dans les délais")))))))</f>
        <v/>
      </c>
      <c r="AB18" s="58" t="str">
        <f>IF(AND(A18="",B18="",D18="",F18="",H18="",K18="",O18=""),"",IF(D18="","Mode de défaillance manquant",IF(AND(A18&lt;&gt;"",COUNTIF(am_num,A18)&gt;1),"N° en double",IF(F18="","Gravité G manquante",IF(NOT(IF(ISNUMBER(F18),AND(F18&gt;=1,F18&lt;=10,F18=INT(F18)),FALSE)),"G : entier de 1 à 10",IF(H18="","Occurrence O manquante",IF(NOT(IF(ISNUMBER(H18),AND(H18&gt;=1,H18&lt;=10,H18=INT(H18)),FALSE)),"O : entier de 1 à 10",IF(K18="","Détection D manquante",IF(NOT(IF(ISNUMBER(K18),AND(K18&gt;=1,K18&lt;=10,K18=INT(K18)),FALSE)),"D : entier de 1 à 10",IF(G18="","Cause manquante",IF(AND(O18&lt;&gt;"",P18=""),"Responsable manquant",IF(AND(R18&lt;&gt;"",O18=""),"Statut sans action",IF(AND(R18="Réalisée",N(S18)=0),"Date de réalisation manquante",IF(AND(T18&lt;&gt;"",IF(ISNUMBER(T18),T18&lt;0,TRUE)),"Coût invalide",IF(AND(COUNTBLANK(U18:W18)&gt;0,COUNTBLANK(U18:W18)&lt;3),"Cotation après action incomplète",IF(AND(COUNTBLANK(U18:W18)=0,X18=""),"G', O', D' : entiers de 1 à 10",IF(AND(X18&lt;&gt;"",X18&gt;L18),"IPR après action plus élevé","OK")))))))))))))))))</f>
        <v/>
      </c>
      <c r="AC18" s="59" t="str">
        <f>IF(OR(AA18="En retard",AA18="Échéance proche",AA18="Dans les délais",AA18="Échéance manquante",AA18="Action à définir",AA18="À réévaluer"),IF(OR(plan_who="",P18=plan_who),IF(N(Q18)&gt;0,Q18,99999)*1000+ROW(),""),"")</f>
        <v/>
      </c>
      <c r="AD18" s="59" t="str">
        <f>IF(L18="","",L18*1000+1000-ROW())</f>
        <v/>
      </c>
      <c r="AE18" s="59" t="str">
        <f>IF(IF(AA18="En retard",1,IF(AA18="Action à définir",2,IF(AA18="Échéance manquante",3,IF(AA18="Échéance proche",4,IF(AA18="À réévaluer",5,0)))))=0,"",IF(AA18="En retard",1,IF(AA18="Action à définir",2,IF(AA18="Échéance manquante",3,IF(AA18="Échéance proche",4,IF(AA18="À réévaluer",5,0)))))*100000000+IF(N(Q18)&gt;0,Q18,99999)*1000+ROW())</f>
        <v/>
      </c>
      <c r="AF18" s="59" t="str">
        <f>IF(X18&lt;&gt;"",X18,L18)</f>
        <v/>
      </c>
      <c r="AG18" s="59" t="str">
        <f>IF(X18&lt;&gt;"",Y18,IF(L18&lt;&gt;"",M18,""))</f>
        <v/>
      </c>
      <c r="AH18" s="59" t="str">
        <f>IF(L18="","",IF(X18&lt;&gt;"",U18,F18))</f>
        <v/>
      </c>
      <c r="AI18" s="59" t="str">
        <f>IF(L18="","",IF(X18&lt;&gt;"",V18,H18))</f>
        <v/>
      </c>
    </row>
    <row r="19" ht="30" customHeight="1">
      <c r="A19" s="50" t="n"/>
      <c r="B19" s="51" t="n"/>
      <c r="C19" s="51" t="n"/>
      <c r="D19" s="51" t="n"/>
      <c r="E19" s="51" t="n"/>
      <c r="F19" s="52" t="n"/>
      <c r="G19" s="51" t="n"/>
      <c r="H19" s="52" t="n"/>
      <c r="I19" s="51" t="n"/>
      <c r="J19" s="51" t="n"/>
      <c r="K19" s="52" t="n"/>
      <c r="L19" s="53" t="str">
        <f>IF(AND(IF(ISNUMBER(F19),AND(F19&gt;=1,F19&lt;=10,F19=INT(F19)),FALSE),IF(ISNUMBER(H19),AND(H19&gt;=1,H19&lt;=10,H19=INT(H19)),FALSE),IF(ISNUMBER(K19),AND(K19&gt;=1,K19&lt;=10,K19=INT(K19)),FALSE)),F19*H19*K19,"")</f>
        <v/>
      </c>
      <c r="M19" s="54" t="str">
        <f>IF(L19="",IF(D19="","","À coter"),IF(OR(F19&gt;=p_gmin,L19&gt;=p_ipr_crit),"Critique",IF(L19&gt;=p_ipr_act,"Élevée",IF(L19&gt;=p_ipr_watch,"Moyenne","Faible"))))</f>
        <v/>
      </c>
      <c r="N19" s="54" t="str">
        <f>IF(OR(M19="",M19="À coter"),"",IF(OR(M19="Critique",M19="Élevée"),"Oui","Non"))</f>
        <v/>
      </c>
      <c r="O19" s="51" t="n"/>
      <c r="P19" s="51" t="n"/>
      <c r="Q19" s="55" t="n"/>
      <c r="R19" s="50" t="n"/>
      <c r="S19" s="55" t="n"/>
      <c r="T19" s="56" t="n"/>
      <c r="U19" s="52" t="n"/>
      <c r="V19" s="52" t="n"/>
      <c r="W19" s="52" t="n"/>
      <c r="X19" s="53" t="str">
        <f>IF(AND(L19&lt;&gt;"",IF(ISNUMBER(U19),AND(U19&gt;=1,U19&lt;=10,U19=INT(U19)),FALSE),IF(ISNUMBER(V19),AND(V19&gt;=1,V19&lt;=10,V19=INT(V19)),FALSE),IF(ISNUMBER(W19),AND(W19&gt;=1,W19&lt;=10,W19=INT(W19)),FALSE)),U19*V19*W19,"")</f>
        <v/>
      </c>
      <c r="Y19" s="54" t="str">
        <f>IF(X19="","",IF(OR(U19&gt;=p_gmin,X19&gt;=p_ipr_crit),"Critique",IF(X19&gt;=p_ipr_act,"Élevée",IF(X19&gt;=p_ipr_watch,"Moyenne","Faible"))))</f>
        <v/>
      </c>
      <c r="Z19" s="57" t="str">
        <f>IF(X19="","",(L19-X19)/L19)</f>
        <v/>
      </c>
      <c r="AA19" s="54" t="str">
        <f>IF(AND(D19="",O19=""),"",IF(O19="",IF(N19="Oui","Action à définir",IF(N19="Non","Sans action","")),IF(R19="Annulée","Annulée",IF(R19="Réalisée",IF(X19="","À réévaluer","Réalisée"),IF(N(Q19)=0,"Échéance manquante",IF(Q19&lt;p_today,"En retard",IF(Q19-p_today&lt;=p_alert,"Échéance proche","Dans les délais")))))))</f>
        <v/>
      </c>
      <c r="AB19" s="58" t="str">
        <f>IF(AND(A19="",B19="",D19="",F19="",H19="",K19="",O19=""),"",IF(D19="","Mode de défaillance manquant",IF(AND(A19&lt;&gt;"",COUNTIF(am_num,A19)&gt;1),"N° en double",IF(F19="","Gravité G manquante",IF(NOT(IF(ISNUMBER(F19),AND(F19&gt;=1,F19&lt;=10,F19=INT(F19)),FALSE)),"G : entier de 1 à 10",IF(H19="","Occurrence O manquante",IF(NOT(IF(ISNUMBER(H19),AND(H19&gt;=1,H19&lt;=10,H19=INT(H19)),FALSE)),"O : entier de 1 à 10",IF(K19="","Détection D manquante",IF(NOT(IF(ISNUMBER(K19),AND(K19&gt;=1,K19&lt;=10,K19=INT(K19)),FALSE)),"D : entier de 1 à 10",IF(G19="","Cause manquante",IF(AND(O19&lt;&gt;"",P19=""),"Responsable manquant",IF(AND(R19&lt;&gt;"",O19=""),"Statut sans action",IF(AND(R19="Réalisée",N(S19)=0),"Date de réalisation manquante",IF(AND(T19&lt;&gt;"",IF(ISNUMBER(T19),T19&lt;0,TRUE)),"Coût invalide",IF(AND(COUNTBLANK(U19:W19)&gt;0,COUNTBLANK(U19:W19)&lt;3),"Cotation après action incomplète",IF(AND(COUNTBLANK(U19:W19)=0,X19=""),"G', O', D' : entiers de 1 à 10",IF(AND(X19&lt;&gt;"",X19&gt;L19),"IPR après action plus élevé","OK")))))))))))))))))</f>
        <v/>
      </c>
      <c r="AC19" s="59" t="str">
        <f>IF(OR(AA19="En retard",AA19="Échéance proche",AA19="Dans les délais",AA19="Échéance manquante",AA19="Action à définir",AA19="À réévaluer"),IF(OR(plan_who="",P19=plan_who),IF(N(Q19)&gt;0,Q19,99999)*1000+ROW(),""),"")</f>
        <v/>
      </c>
      <c r="AD19" s="59" t="str">
        <f>IF(L19="","",L19*1000+1000-ROW())</f>
        <v/>
      </c>
      <c r="AE19" s="59" t="str">
        <f>IF(IF(AA19="En retard",1,IF(AA19="Action à définir",2,IF(AA19="Échéance manquante",3,IF(AA19="Échéance proche",4,IF(AA19="À réévaluer",5,0)))))=0,"",IF(AA19="En retard",1,IF(AA19="Action à définir",2,IF(AA19="Échéance manquante",3,IF(AA19="Échéance proche",4,IF(AA19="À réévaluer",5,0)))))*100000000+IF(N(Q19)&gt;0,Q19,99999)*1000+ROW())</f>
        <v/>
      </c>
      <c r="AF19" s="59" t="str">
        <f>IF(X19&lt;&gt;"",X19,L19)</f>
        <v/>
      </c>
      <c r="AG19" s="59" t="str">
        <f>IF(X19&lt;&gt;"",Y19,IF(L19&lt;&gt;"",M19,""))</f>
        <v/>
      </c>
      <c r="AH19" s="59" t="str">
        <f>IF(L19="","",IF(X19&lt;&gt;"",U19,F19))</f>
        <v/>
      </c>
      <c r="AI19" s="59" t="str">
        <f>IF(L19="","",IF(X19&lt;&gt;"",V19,H19))</f>
        <v/>
      </c>
    </row>
    <row r="20" ht="30" customHeight="1">
      <c r="A20" s="50" t="n"/>
      <c r="B20" s="51" t="n"/>
      <c r="C20" s="51" t="n"/>
      <c r="D20" s="51" t="n"/>
      <c r="E20" s="51" t="n"/>
      <c r="F20" s="52" t="n"/>
      <c r="G20" s="51" t="n"/>
      <c r="H20" s="52" t="n"/>
      <c r="I20" s="51" t="n"/>
      <c r="J20" s="51" t="n"/>
      <c r="K20" s="52" t="n"/>
      <c r="L20" s="53" t="str">
        <f>IF(AND(IF(ISNUMBER(F20),AND(F20&gt;=1,F20&lt;=10,F20=INT(F20)),FALSE),IF(ISNUMBER(H20),AND(H20&gt;=1,H20&lt;=10,H20=INT(H20)),FALSE),IF(ISNUMBER(K20),AND(K20&gt;=1,K20&lt;=10,K20=INT(K20)),FALSE)),F20*H20*K20,"")</f>
        <v/>
      </c>
      <c r="M20" s="54" t="str">
        <f>IF(L20="",IF(D20="","","À coter"),IF(OR(F20&gt;=p_gmin,L20&gt;=p_ipr_crit),"Critique",IF(L20&gt;=p_ipr_act,"Élevée",IF(L20&gt;=p_ipr_watch,"Moyenne","Faible"))))</f>
        <v/>
      </c>
      <c r="N20" s="54" t="str">
        <f>IF(OR(M20="",M20="À coter"),"",IF(OR(M20="Critique",M20="Élevée"),"Oui","Non"))</f>
        <v/>
      </c>
      <c r="O20" s="51" t="n"/>
      <c r="P20" s="51" t="n"/>
      <c r="Q20" s="55" t="n"/>
      <c r="R20" s="50" t="n"/>
      <c r="S20" s="55" t="n"/>
      <c r="T20" s="56" t="n"/>
      <c r="U20" s="52" t="n"/>
      <c r="V20" s="52" t="n"/>
      <c r="W20" s="52" t="n"/>
      <c r="X20" s="53" t="str">
        <f>IF(AND(L20&lt;&gt;"",IF(ISNUMBER(U20),AND(U20&gt;=1,U20&lt;=10,U20=INT(U20)),FALSE),IF(ISNUMBER(V20),AND(V20&gt;=1,V20&lt;=10,V20=INT(V20)),FALSE),IF(ISNUMBER(W20),AND(W20&gt;=1,W20&lt;=10,W20=INT(W20)),FALSE)),U20*V20*W20,"")</f>
        <v/>
      </c>
      <c r="Y20" s="54" t="str">
        <f>IF(X20="","",IF(OR(U20&gt;=p_gmin,X20&gt;=p_ipr_crit),"Critique",IF(X20&gt;=p_ipr_act,"Élevée",IF(X20&gt;=p_ipr_watch,"Moyenne","Faible"))))</f>
        <v/>
      </c>
      <c r="Z20" s="57" t="str">
        <f>IF(X20="","",(L20-X20)/L20)</f>
        <v/>
      </c>
      <c r="AA20" s="54" t="str">
        <f>IF(AND(D20="",O20=""),"",IF(O20="",IF(N20="Oui","Action à définir",IF(N20="Non","Sans action","")),IF(R20="Annulée","Annulée",IF(R20="Réalisée",IF(X20="","À réévaluer","Réalisée"),IF(N(Q20)=0,"Échéance manquante",IF(Q20&lt;p_today,"En retard",IF(Q20-p_today&lt;=p_alert,"Échéance proche","Dans les délais")))))))</f>
        <v/>
      </c>
      <c r="AB20" s="58" t="str">
        <f>IF(AND(A20="",B20="",D20="",F20="",H20="",K20="",O20=""),"",IF(D20="","Mode de défaillance manquant",IF(AND(A20&lt;&gt;"",COUNTIF(am_num,A20)&gt;1),"N° en double",IF(F20="","Gravité G manquante",IF(NOT(IF(ISNUMBER(F20),AND(F20&gt;=1,F20&lt;=10,F20=INT(F20)),FALSE)),"G : entier de 1 à 10",IF(H20="","Occurrence O manquante",IF(NOT(IF(ISNUMBER(H20),AND(H20&gt;=1,H20&lt;=10,H20=INT(H20)),FALSE)),"O : entier de 1 à 10",IF(K20="","Détection D manquante",IF(NOT(IF(ISNUMBER(K20),AND(K20&gt;=1,K20&lt;=10,K20=INT(K20)),FALSE)),"D : entier de 1 à 10",IF(G20="","Cause manquante",IF(AND(O20&lt;&gt;"",P20=""),"Responsable manquant",IF(AND(R20&lt;&gt;"",O20=""),"Statut sans action",IF(AND(R20="Réalisée",N(S20)=0),"Date de réalisation manquante",IF(AND(T20&lt;&gt;"",IF(ISNUMBER(T20),T20&lt;0,TRUE)),"Coût invalide",IF(AND(COUNTBLANK(U20:W20)&gt;0,COUNTBLANK(U20:W20)&lt;3),"Cotation après action incomplète",IF(AND(COUNTBLANK(U20:W20)=0,X20=""),"G', O', D' : entiers de 1 à 10",IF(AND(X20&lt;&gt;"",X20&gt;L20),"IPR après action plus élevé","OK")))))))))))))))))</f>
        <v/>
      </c>
      <c r="AC20" s="59" t="str">
        <f>IF(OR(AA20="En retard",AA20="Échéance proche",AA20="Dans les délais",AA20="Échéance manquante",AA20="Action à définir",AA20="À réévaluer"),IF(OR(plan_who="",P20=plan_who),IF(N(Q20)&gt;0,Q20,99999)*1000+ROW(),""),"")</f>
        <v/>
      </c>
      <c r="AD20" s="59" t="str">
        <f>IF(L20="","",L20*1000+1000-ROW())</f>
        <v/>
      </c>
      <c r="AE20" s="59" t="str">
        <f>IF(IF(AA20="En retard",1,IF(AA20="Action à définir",2,IF(AA20="Échéance manquante",3,IF(AA20="Échéance proche",4,IF(AA20="À réévaluer",5,0)))))=0,"",IF(AA20="En retard",1,IF(AA20="Action à définir",2,IF(AA20="Échéance manquante",3,IF(AA20="Échéance proche",4,IF(AA20="À réévaluer",5,0)))))*100000000+IF(N(Q20)&gt;0,Q20,99999)*1000+ROW())</f>
        <v/>
      </c>
      <c r="AF20" s="59" t="str">
        <f>IF(X20&lt;&gt;"",X20,L20)</f>
        <v/>
      </c>
      <c r="AG20" s="59" t="str">
        <f>IF(X20&lt;&gt;"",Y20,IF(L20&lt;&gt;"",M20,""))</f>
        <v/>
      </c>
      <c r="AH20" s="59" t="str">
        <f>IF(L20="","",IF(X20&lt;&gt;"",U20,F20))</f>
        <v/>
      </c>
      <c r="AI20" s="59" t="str">
        <f>IF(L20="","",IF(X20&lt;&gt;"",V20,H20))</f>
        <v/>
      </c>
    </row>
    <row r="21" ht="30" customHeight="1">
      <c r="A21" s="50" t="n"/>
      <c r="B21" s="51" t="n"/>
      <c r="C21" s="51" t="n"/>
      <c r="D21" s="51" t="n"/>
      <c r="E21" s="51" t="n"/>
      <c r="F21" s="52" t="n"/>
      <c r="G21" s="51" t="n"/>
      <c r="H21" s="52" t="n"/>
      <c r="I21" s="51" t="n"/>
      <c r="J21" s="51" t="n"/>
      <c r="K21" s="52" t="n"/>
      <c r="L21" s="53" t="str">
        <f>IF(AND(IF(ISNUMBER(F21),AND(F21&gt;=1,F21&lt;=10,F21=INT(F21)),FALSE),IF(ISNUMBER(H21),AND(H21&gt;=1,H21&lt;=10,H21=INT(H21)),FALSE),IF(ISNUMBER(K21),AND(K21&gt;=1,K21&lt;=10,K21=INT(K21)),FALSE)),F21*H21*K21,"")</f>
        <v/>
      </c>
      <c r="M21" s="54" t="str">
        <f>IF(L21="",IF(D21="","","À coter"),IF(OR(F21&gt;=p_gmin,L21&gt;=p_ipr_crit),"Critique",IF(L21&gt;=p_ipr_act,"Élevée",IF(L21&gt;=p_ipr_watch,"Moyenne","Faible"))))</f>
        <v/>
      </c>
      <c r="N21" s="54" t="str">
        <f>IF(OR(M21="",M21="À coter"),"",IF(OR(M21="Critique",M21="Élevée"),"Oui","Non"))</f>
        <v/>
      </c>
      <c r="O21" s="51" t="n"/>
      <c r="P21" s="51" t="n"/>
      <c r="Q21" s="55" t="n"/>
      <c r="R21" s="50" t="n"/>
      <c r="S21" s="55" t="n"/>
      <c r="T21" s="56" t="n"/>
      <c r="U21" s="52" t="n"/>
      <c r="V21" s="52" t="n"/>
      <c r="W21" s="52" t="n"/>
      <c r="X21" s="53" t="str">
        <f>IF(AND(L21&lt;&gt;"",IF(ISNUMBER(U21),AND(U21&gt;=1,U21&lt;=10,U21=INT(U21)),FALSE),IF(ISNUMBER(V21),AND(V21&gt;=1,V21&lt;=10,V21=INT(V21)),FALSE),IF(ISNUMBER(W21),AND(W21&gt;=1,W21&lt;=10,W21=INT(W21)),FALSE)),U21*V21*W21,"")</f>
        <v/>
      </c>
      <c r="Y21" s="54" t="str">
        <f>IF(X21="","",IF(OR(U21&gt;=p_gmin,X21&gt;=p_ipr_crit),"Critique",IF(X21&gt;=p_ipr_act,"Élevée",IF(X21&gt;=p_ipr_watch,"Moyenne","Faible"))))</f>
        <v/>
      </c>
      <c r="Z21" s="57" t="str">
        <f>IF(X21="","",(L21-X21)/L21)</f>
        <v/>
      </c>
      <c r="AA21" s="54" t="str">
        <f>IF(AND(D21="",O21=""),"",IF(O21="",IF(N21="Oui","Action à définir",IF(N21="Non","Sans action","")),IF(R21="Annulée","Annulée",IF(R21="Réalisée",IF(X21="","À réévaluer","Réalisée"),IF(N(Q21)=0,"Échéance manquante",IF(Q21&lt;p_today,"En retard",IF(Q21-p_today&lt;=p_alert,"Échéance proche","Dans les délais")))))))</f>
        <v/>
      </c>
      <c r="AB21" s="58" t="str">
        <f>IF(AND(A21="",B21="",D21="",F21="",H21="",K21="",O21=""),"",IF(D21="","Mode de défaillance manquant",IF(AND(A21&lt;&gt;"",COUNTIF(am_num,A21)&gt;1),"N° en double",IF(F21="","Gravité G manquante",IF(NOT(IF(ISNUMBER(F21),AND(F21&gt;=1,F21&lt;=10,F21=INT(F21)),FALSE)),"G : entier de 1 à 10",IF(H21="","Occurrence O manquante",IF(NOT(IF(ISNUMBER(H21),AND(H21&gt;=1,H21&lt;=10,H21=INT(H21)),FALSE)),"O : entier de 1 à 10",IF(K21="","Détection D manquante",IF(NOT(IF(ISNUMBER(K21),AND(K21&gt;=1,K21&lt;=10,K21=INT(K21)),FALSE)),"D : entier de 1 à 10",IF(G21="","Cause manquante",IF(AND(O21&lt;&gt;"",P21=""),"Responsable manquant",IF(AND(R21&lt;&gt;"",O21=""),"Statut sans action",IF(AND(R21="Réalisée",N(S21)=0),"Date de réalisation manquante",IF(AND(T21&lt;&gt;"",IF(ISNUMBER(T21),T21&lt;0,TRUE)),"Coût invalide",IF(AND(COUNTBLANK(U21:W21)&gt;0,COUNTBLANK(U21:W21)&lt;3),"Cotation après action incomplète",IF(AND(COUNTBLANK(U21:W21)=0,X21=""),"G', O', D' : entiers de 1 à 10",IF(AND(X21&lt;&gt;"",X21&gt;L21),"IPR après action plus élevé","OK")))))))))))))))))</f>
        <v/>
      </c>
      <c r="AC21" s="59" t="str">
        <f>IF(OR(AA21="En retard",AA21="Échéance proche",AA21="Dans les délais",AA21="Échéance manquante",AA21="Action à définir",AA21="À réévaluer"),IF(OR(plan_who="",P21=plan_who),IF(N(Q21)&gt;0,Q21,99999)*1000+ROW(),""),"")</f>
        <v/>
      </c>
      <c r="AD21" s="59" t="str">
        <f>IF(L21="","",L21*1000+1000-ROW())</f>
        <v/>
      </c>
      <c r="AE21" s="59" t="str">
        <f>IF(IF(AA21="En retard",1,IF(AA21="Action à définir",2,IF(AA21="Échéance manquante",3,IF(AA21="Échéance proche",4,IF(AA21="À réévaluer",5,0)))))=0,"",IF(AA21="En retard",1,IF(AA21="Action à définir",2,IF(AA21="Échéance manquante",3,IF(AA21="Échéance proche",4,IF(AA21="À réévaluer",5,0)))))*100000000+IF(N(Q21)&gt;0,Q21,99999)*1000+ROW())</f>
        <v/>
      </c>
      <c r="AF21" s="59" t="str">
        <f>IF(X21&lt;&gt;"",X21,L21)</f>
        <v/>
      </c>
      <c r="AG21" s="59" t="str">
        <f>IF(X21&lt;&gt;"",Y21,IF(L21&lt;&gt;"",M21,""))</f>
        <v/>
      </c>
      <c r="AH21" s="59" t="str">
        <f>IF(L21="","",IF(X21&lt;&gt;"",U21,F21))</f>
        <v/>
      </c>
      <c r="AI21" s="59" t="str">
        <f>IF(L21="","",IF(X21&lt;&gt;"",V21,H21))</f>
        <v/>
      </c>
    </row>
    <row r="22" ht="30" customHeight="1">
      <c r="A22" s="50" t="n"/>
      <c r="B22" s="51" t="n"/>
      <c r="C22" s="51" t="n"/>
      <c r="D22" s="51" t="n"/>
      <c r="E22" s="51" t="n"/>
      <c r="F22" s="52" t="n"/>
      <c r="G22" s="51" t="n"/>
      <c r="H22" s="52" t="n"/>
      <c r="I22" s="51" t="n"/>
      <c r="J22" s="51" t="n"/>
      <c r="K22" s="52" t="n"/>
      <c r="L22" s="53" t="str">
        <f>IF(AND(IF(ISNUMBER(F22),AND(F22&gt;=1,F22&lt;=10,F22=INT(F22)),FALSE),IF(ISNUMBER(H22),AND(H22&gt;=1,H22&lt;=10,H22=INT(H22)),FALSE),IF(ISNUMBER(K22),AND(K22&gt;=1,K22&lt;=10,K22=INT(K22)),FALSE)),F22*H22*K22,"")</f>
        <v/>
      </c>
      <c r="M22" s="54" t="str">
        <f>IF(L22="",IF(D22="","","À coter"),IF(OR(F22&gt;=p_gmin,L22&gt;=p_ipr_crit),"Critique",IF(L22&gt;=p_ipr_act,"Élevée",IF(L22&gt;=p_ipr_watch,"Moyenne","Faible"))))</f>
        <v/>
      </c>
      <c r="N22" s="54" t="str">
        <f>IF(OR(M22="",M22="À coter"),"",IF(OR(M22="Critique",M22="Élevée"),"Oui","Non"))</f>
        <v/>
      </c>
      <c r="O22" s="51" t="n"/>
      <c r="P22" s="51" t="n"/>
      <c r="Q22" s="55" t="n"/>
      <c r="R22" s="50" t="n"/>
      <c r="S22" s="55" t="n"/>
      <c r="T22" s="56" t="n"/>
      <c r="U22" s="52" t="n"/>
      <c r="V22" s="52" t="n"/>
      <c r="W22" s="52" t="n"/>
      <c r="X22" s="53" t="str">
        <f>IF(AND(L22&lt;&gt;"",IF(ISNUMBER(U22),AND(U22&gt;=1,U22&lt;=10,U22=INT(U22)),FALSE),IF(ISNUMBER(V22),AND(V22&gt;=1,V22&lt;=10,V22=INT(V22)),FALSE),IF(ISNUMBER(W22),AND(W22&gt;=1,W22&lt;=10,W22=INT(W22)),FALSE)),U22*V22*W22,"")</f>
        <v/>
      </c>
      <c r="Y22" s="54" t="str">
        <f>IF(X22="","",IF(OR(U22&gt;=p_gmin,X22&gt;=p_ipr_crit),"Critique",IF(X22&gt;=p_ipr_act,"Élevée",IF(X22&gt;=p_ipr_watch,"Moyenne","Faible"))))</f>
        <v/>
      </c>
      <c r="Z22" s="57" t="str">
        <f>IF(X22="","",(L22-X22)/L22)</f>
        <v/>
      </c>
      <c r="AA22" s="54" t="str">
        <f>IF(AND(D22="",O22=""),"",IF(O22="",IF(N22="Oui","Action à définir",IF(N22="Non","Sans action","")),IF(R22="Annulée","Annulée",IF(R22="Réalisée",IF(X22="","À réévaluer","Réalisée"),IF(N(Q22)=0,"Échéance manquante",IF(Q22&lt;p_today,"En retard",IF(Q22-p_today&lt;=p_alert,"Échéance proche","Dans les délais")))))))</f>
        <v/>
      </c>
      <c r="AB22" s="58" t="str">
        <f>IF(AND(A22="",B22="",D22="",F22="",H22="",K22="",O22=""),"",IF(D22="","Mode de défaillance manquant",IF(AND(A22&lt;&gt;"",COUNTIF(am_num,A22)&gt;1),"N° en double",IF(F22="","Gravité G manquante",IF(NOT(IF(ISNUMBER(F22),AND(F22&gt;=1,F22&lt;=10,F22=INT(F22)),FALSE)),"G : entier de 1 à 10",IF(H22="","Occurrence O manquante",IF(NOT(IF(ISNUMBER(H22),AND(H22&gt;=1,H22&lt;=10,H22=INT(H22)),FALSE)),"O : entier de 1 à 10",IF(K22="","Détection D manquante",IF(NOT(IF(ISNUMBER(K22),AND(K22&gt;=1,K22&lt;=10,K22=INT(K22)),FALSE)),"D : entier de 1 à 10",IF(G22="","Cause manquante",IF(AND(O22&lt;&gt;"",P22=""),"Responsable manquant",IF(AND(R22&lt;&gt;"",O22=""),"Statut sans action",IF(AND(R22="Réalisée",N(S22)=0),"Date de réalisation manquante",IF(AND(T22&lt;&gt;"",IF(ISNUMBER(T22),T22&lt;0,TRUE)),"Coût invalide",IF(AND(COUNTBLANK(U22:W22)&gt;0,COUNTBLANK(U22:W22)&lt;3),"Cotation après action incomplète",IF(AND(COUNTBLANK(U22:W22)=0,X22=""),"G', O', D' : entiers de 1 à 10",IF(AND(X22&lt;&gt;"",X22&gt;L22),"IPR après action plus élevé","OK")))))))))))))))))</f>
        <v/>
      </c>
      <c r="AC22" s="59" t="str">
        <f>IF(OR(AA22="En retard",AA22="Échéance proche",AA22="Dans les délais",AA22="Échéance manquante",AA22="Action à définir",AA22="À réévaluer"),IF(OR(plan_who="",P22=plan_who),IF(N(Q22)&gt;0,Q22,99999)*1000+ROW(),""),"")</f>
        <v/>
      </c>
      <c r="AD22" s="59" t="str">
        <f>IF(L22="","",L22*1000+1000-ROW())</f>
        <v/>
      </c>
      <c r="AE22" s="59" t="str">
        <f>IF(IF(AA22="En retard",1,IF(AA22="Action à définir",2,IF(AA22="Échéance manquante",3,IF(AA22="Échéance proche",4,IF(AA22="À réévaluer",5,0)))))=0,"",IF(AA22="En retard",1,IF(AA22="Action à définir",2,IF(AA22="Échéance manquante",3,IF(AA22="Échéance proche",4,IF(AA22="À réévaluer",5,0)))))*100000000+IF(N(Q22)&gt;0,Q22,99999)*1000+ROW())</f>
        <v/>
      </c>
      <c r="AF22" s="59" t="str">
        <f>IF(X22&lt;&gt;"",X22,L22)</f>
        <v/>
      </c>
      <c r="AG22" s="59" t="str">
        <f>IF(X22&lt;&gt;"",Y22,IF(L22&lt;&gt;"",M22,""))</f>
        <v/>
      </c>
      <c r="AH22" s="59" t="str">
        <f>IF(L22="","",IF(X22&lt;&gt;"",U22,F22))</f>
        <v/>
      </c>
      <c r="AI22" s="59" t="str">
        <f>IF(L22="","",IF(X22&lt;&gt;"",V22,H22))</f>
        <v/>
      </c>
    </row>
    <row r="23" ht="30" customHeight="1">
      <c r="A23" s="50" t="n"/>
      <c r="B23" s="51" t="n"/>
      <c r="C23" s="51" t="n"/>
      <c r="D23" s="51" t="n"/>
      <c r="E23" s="51" t="n"/>
      <c r="F23" s="52" t="n"/>
      <c r="G23" s="51" t="n"/>
      <c r="H23" s="52" t="n"/>
      <c r="I23" s="51" t="n"/>
      <c r="J23" s="51" t="n"/>
      <c r="K23" s="52" t="n"/>
      <c r="L23" s="53" t="str">
        <f>IF(AND(IF(ISNUMBER(F23),AND(F23&gt;=1,F23&lt;=10,F23=INT(F23)),FALSE),IF(ISNUMBER(H23),AND(H23&gt;=1,H23&lt;=10,H23=INT(H23)),FALSE),IF(ISNUMBER(K23),AND(K23&gt;=1,K23&lt;=10,K23=INT(K23)),FALSE)),F23*H23*K23,"")</f>
        <v/>
      </c>
      <c r="M23" s="54" t="str">
        <f>IF(L23="",IF(D23="","","À coter"),IF(OR(F23&gt;=p_gmin,L23&gt;=p_ipr_crit),"Critique",IF(L23&gt;=p_ipr_act,"Élevée",IF(L23&gt;=p_ipr_watch,"Moyenne","Faible"))))</f>
        <v/>
      </c>
      <c r="N23" s="54" t="str">
        <f>IF(OR(M23="",M23="À coter"),"",IF(OR(M23="Critique",M23="Élevée"),"Oui","Non"))</f>
        <v/>
      </c>
      <c r="O23" s="51" t="n"/>
      <c r="P23" s="51" t="n"/>
      <c r="Q23" s="55" t="n"/>
      <c r="R23" s="50" t="n"/>
      <c r="S23" s="55" t="n"/>
      <c r="T23" s="56" t="n"/>
      <c r="U23" s="52" t="n"/>
      <c r="V23" s="52" t="n"/>
      <c r="W23" s="52" t="n"/>
      <c r="X23" s="53" t="str">
        <f>IF(AND(L23&lt;&gt;"",IF(ISNUMBER(U23),AND(U23&gt;=1,U23&lt;=10,U23=INT(U23)),FALSE),IF(ISNUMBER(V23),AND(V23&gt;=1,V23&lt;=10,V23=INT(V23)),FALSE),IF(ISNUMBER(W23),AND(W23&gt;=1,W23&lt;=10,W23=INT(W23)),FALSE)),U23*V23*W23,"")</f>
        <v/>
      </c>
      <c r="Y23" s="54" t="str">
        <f>IF(X23="","",IF(OR(U23&gt;=p_gmin,X23&gt;=p_ipr_crit),"Critique",IF(X23&gt;=p_ipr_act,"Élevée",IF(X23&gt;=p_ipr_watch,"Moyenne","Faible"))))</f>
        <v/>
      </c>
      <c r="Z23" s="57" t="str">
        <f>IF(X23="","",(L23-X23)/L23)</f>
        <v/>
      </c>
      <c r="AA23" s="54" t="str">
        <f>IF(AND(D23="",O23=""),"",IF(O23="",IF(N23="Oui","Action à définir",IF(N23="Non","Sans action","")),IF(R23="Annulée","Annulée",IF(R23="Réalisée",IF(X23="","À réévaluer","Réalisée"),IF(N(Q23)=0,"Échéance manquante",IF(Q23&lt;p_today,"En retard",IF(Q23-p_today&lt;=p_alert,"Échéance proche","Dans les délais")))))))</f>
        <v/>
      </c>
      <c r="AB23" s="58" t="str">
        <f>IF(AND(A23="",B23="",D23="",F23="",H23="",K23="",O23=""),"",IF(D23="","Mode de défaillance manquant",IF(AND(A23&lt;&gt;"",COUNTIF(am_num,A23)&gt;1),"N° en double",IF(F23="","Gravité G manquante",IF(NOT(IF(ISNUMBER(F23),AND(F23&gt;=1,F23&lt;=10,F23=INT(F23)),FALSE)),"G : entier de 1 à 10",IF(H23="","Occurrence O manquante",IF(NOT(IF(ISNUMBER(H23),AND(H23&gt;=1,H23&lt;=10,H23=INT(H23)),FALSE)),"O : entier de 1 à 10",IF(K23="","Détection D manquante",IF(NOT(IF(ISNUMBER(K23),AND(K23&gt;=1,K23&lt;=10,K23=INT(K23)),FALSE)),"D : entier de 1 à 10",IF(G23="","Cause manquante",IF(AND(O23&lt;&gt;"",P23=""),"Responsable manquant",IF(AND(R23&lt;&gt;"",O23=""),"Statut sans action",IF(AND(R23="Réalisée",N(S23)=0),"Date de réalisation manquante",IF(AND(T23&lt;&gt;"",IF(ISNUMBER(T23),T23&lt;0,TRUE)),"Coût invalide",IF(AND(COUNTBLANK(U23:W23)&gt;0,COUNTBLANK(U23:W23)&lt;3),"Cotation après action incomplète",IF(AND(COUNTBLANK(U23:W23)=0,X23=""),"G', O', D' : entiers de 1 à 10",IF(AND(X23&lt;&gt;"",X23&gt;L23),"IPR après action plus élevé","OK")))))))))))))))))</f>
        <v/>
      </c>
      <c r="AC23" s="59" t="str">
        <f>IF(OR(AA23="En retard",AA23="Échéance proche",AA23="Dans les délais",AA23="Échéance manquante",AA23="Action à définir",AA23="À réévaluer"),IF(OR(plan_who="",P23=plan_who),IF(N(Q23)&gt;0,Q23,99999)*1000+ROW(),""),"")</f>
        <v/>
      </c>
      <c r="AD23" s="59" t="str">
        <f>IF(L23="","",L23*1000+1000-ROW())</f>
        <v/>
      </c>
      <c r="AE23" s="59" t="str">
        <f>IF(IF(AA23="En retard",1,IF(AA23="Action à définir",2,IF(AA23="Échéance manquante",3,IF(AA23="Échéance proche",4,IF(AA23="À réévaluer",5,0)))))=0,"",IF(AA23="En retard",1,IF(AA23="Action à définir",2,IF(AA23="Échéance manquante",3,IF(AA23="Échéance proche",4,IF(AA23="À réévaluer",5,0)))))*100000000+IF(N(Q23)&gt;0,Q23,99999)*1000+ROW())</f>
        <v/>
      </c>
      <c r="AF23" s="59" t="str">
        <f>IF(X23&lt;&gt;"",X23,L23)</f>
        <v/>
      </c>
      <c r="AG23" s="59" t="str">
        <f>IF(X23&lt;&gt;"",Y23,IF(L23&lt;&gt;"",M23,""))</f>
        <v/>
      </c>
      <c r="AH23" s="59" t="str">
        <f>IF(L23="","",IF(X23&lt;&gt;"",U23,F23))</f>
        <v/>
      </c>
      <c r="AI23" s="59" t="str">
        <f>IF(L23="","",IF(X23&lt;&gt;"",V23,H23))</f>
        <v/>
      </c>
    </row>
    <row r="24" ht="30" customHeight="1">
      <c r="A24" s="50" t="n"/>
      <c r="B24" s="51" t="n"/>
      <c r="C24" s="51" t="n"/>
      <c r="D24" s="51" t="n"/>
      <c r="E24" s="51" t="n"/>
      <c r="F24" s="52" t="n"/>
      <c r="G24" s="51" t="n"/>
      <c r="H24" s="52" t="n"/>
      <c r="I24" s="51" t="n"/>
      <c r="J24" s="51" t="n"/>
      <c r="K24" s="52" t="n"/>
      <c r="L24" s="53" t="str">
        <f>IF(AND(IF(ISNUMBER(F24),AND(F24&gt;=1,F24&lt;=10,F24=INT(F24)),FALSE),IF(ISNUMBER(H24),AND(H24&gt;=1,H24&lt;=10,H24=INT(H24)),FALSE),IF(ISNUMBER(K24),AND(K24&gt;=1,K24&lt;=10,K24=INT(K24)),FALSE)),F24*H24*K24,"")</f>
        <v/>
      </c>
      <c r="M24" s="54" t="str">
        <f>IF(L24="",IF(D24="","","À coter"),IF(OR(F24&gt;=p_gmin,L24&gt;=p_ipr_crit),"Critique",IF(L24&gt;=p_ipr_act,"Élevée",IF(L24&gt;=p_ipr_watch,"Moyenne","Faible"))))</f>
        <v/>
      </c>
      <c r="N24" s="54" t="str">
        <f>IF(OR(M24="",M24="À coter"),"",IF(OR(M24="Critique",M24="Élevée"),"Oui","Non"))</f>
        <v/>
      </c>
      <c r="O24" s="51" t="n"/>
      <c r="P24" s="51" t="n"/>
      <c r="Q24" s="55" t="n"/>
      <c r="R24" s="50" t="n"/>
      <c r="S24" s="55" t="n"/>
      <c r="T24" s="56" t="n"/>
      <c r="U24" s="52" t="n"/>
      <c r="V24" s="52" t="n"/>
      <c r="W24" s="52" t="n"/>
      <c r="X24" s="53" t="str">
        <f>IF(AND(L24&lt;&gt;"",IF(ISNUMBER(U24),AND(U24&gt;=1,U24&lt;=10,U24=INT(U24)),FALSE),IF(ISNUMBER(V24),AND(V24&gt;=1,V24&lt;=10,V24=INT(V24)),FALSE),IF(ISNUMBER(W24),AND(W24&gt;=1,W24&lt;=10,W24=INT(W24)),FALSE)),U24*V24*W24,"")</f>
        <v/>
      </c>
      <c r="Y24" s="54" t="str">
        <f>IF(X24="","",IF(OR(U24&gt;=p_gmin,X24&gt;=p_ipr_crit),"Critique",IF(X24&gt;=p_ipr_act,"Élevée",IF(X24&gt;=p_ipr_watch,"Moyenne","Faible"))))</f>
        <v/>
      </c>
      <c r="Z24" s="57" t="str">
        <f>IF(X24="","",(L24-X24)/L24)</f>
        <v/>
      </c>
      <c r="AA24" s="54" t="str">
        <f>IF(AND(D24="",O24=""),"",IF(O24="",IF(N24="Oui","Action à définir",IF(N24="Non","Sans action","")),IF(R24="Annulée","Annulée",IF(R24="Réalisée",IF(X24="","À réévaluer","Réalisée"),IF(N(Q24)=0,"Échéance manquante",IF(Q24&lt;p_today,"En retard",IF(Q24-p_today&lt;=p_alert,"Échéance proche","Dans les délais")))))))</f>
        <v/>
      </c>
      <c r="AB24" s="58" t="str">
        <f>IF(AND(A24="",B24="",D24="",F24="",H24="",K24="",O24=""),"",IF(D24="","Mode de défaillance manquant",IF(AND(A24&lt;&gt;"",COUNTIF(am_num,A24)&gt;1),"N° en double",IF(F24="","Gravité G manquante",IF(NOT(IF(ISNUMBER(F24),AND(F24&gt;=1,F24&lt;=10,F24=INT(F24)),FALSE)),"G : entier de 1 à 10",IF(H24="","Occurrence O manquante",IF(NOT(IF(ISNUMBER(H24),AND(H24&gt;=1,H24&lt;=10,H24=INT(H24)),FALSE)),"O : entier de 1 à 10",IF(K24="","Détection D manquante",IF(NOT(IF(ISNUMBER(K24),AND(K24&gt;=1,K24&lt;=10,K24=INT(K24)),FALSE)),"D : entier de 1 à 10",IF(G24="","Cause manquante",IF(AND(O24&lt;&gt;"",P24=""),"Responsable manquant",IF(AND(R24&lt;&gt;"",O24=""),"Statut sans action",IF(AND(R24="Réalisée",N(S24)=0),"Date de réalisation manquante",IF(AND(T24&lt;&gt;"",IF(ISNUMBER(T24),T24&lt;0,TRUE)),"Coût invalide",IF(AND(COUNTBLANK(U24:W24)&gt;0,COUNTBLANK(U24:W24)&lt;3),"Cotation après action incomplète",IF(AND(COUNTBLANK(U24:W24)=0,X24=""),"G', O', D' : entiers de 1 à 10",IF(AND(X24&lt;&gt;"",X24&gt;L24),"IPR après action plus élevé","OK")))))))))))))))))</f>
        <v/>
      </c>
      <c r="AC24" s="59" t="str">
        <f>IF(OR(AA24="En retard",AA24="Échéance proche",AA24="Dans les délais",AA24="Échéance manquante",AA24="Action à définir",AA24="À réévaluer"),IF(OR(plan_who="",P24=plan_who),IF(N(Q24)&gt;0,Q24,99999)*1000+ROW(),""),"")</f>
        <v/>
      </c>
      <c r="AD24" s="59" t="str">
        <f>IF(L24="","",L24*1000+1000-ROW())</f>
        <v/>
      </c>
      <c r="AE24" s="59" t="str">
        <f>IF(IF(AA24="En retard",1,IF(AA24="Action à définir",2,IF(AA24="Échéance manquante",3,IF(AA24="Échéance proche",4,IF(AA24="À réévaluer",5,0)))))=0,"",IF(AA24="En retard",1,IF(AA24="Action à définir",2,IF(AA24="Échéance manquante",3,IF(AA24="Échéance proche",4,IF(AA24="À réévaluer",5,0)))))*100000000+IF(N(Q24)&gt;0,Q24,99999)*1000+ROW())</f>
        <v/>
      </c>
      <c r="AF24" s="59" t="str">
        <f>IF(X24&lt;&gt;"",X24,L24)</f>
        <v/>
      </c>
      <c r="AG24" s="59" t="str">
        <f>IF(X24&lt;&gt;"",Y24,IF(L24&lt;&gt;"",M24,""))</f>
        <v/>
      </c>
      <c r="AH24" s="59" t="str">
        <f>IF(L24="","",IF(X24&lt;&gt;"",U24,F24))</f>
        <v/>
      </c>
      <c r="AI24" s="59" t="str">
        <f>IF(L24="","",IF(X24&lt;&gt;"",V24,H24))</f>
        <v/>
      </c>
    </row>
    <row r="25" ht="30" customHeight="1">
      <c r="A25" s="50" t="n"/>
      <c r="B25" s="51" t="n"/>
      <c r="C25" s="51" t="n"/>
      <c r="D25" s="51" t="n"/>
      <c r="E25" s="51" t="n"/>
      <c r="F25" s="52" t="n"/>
      <c r="G25" s="51" t="n"/>
      <c r="H25" s="52" t="n"/>
      <c r="I25" s="51" t="n"/>
      <c r="J25" s="51" t="n"/>
      <c r="K25" s="52" t="n"/>
      <c r="L25" s="53" t="str">
        <f>IF(AND(IF(ISNUMBER(F25),AND(F25&gt;=1,F25&lt;=10,F25=INT(F25)),FALSE),IF(ISNUMBER(H25),AND(H25&gt;=1,H25&lt;=10,H25=INT(H25)),FALSE),IF(ISNUMBER(K25),AND(K25&gt;=1,K25&lt;=10,K25=INT(K25)),FALSE)),F25*H25*K25,"")</f>
        <v/>
      </c>
      <c r="M25" s="54" t="str">
        <f>IF(L25="",IF(D25="","","À coter"),IF(OR(F25&gt;=p_gmin,L25&gt;=p_ipr_crit),"Critique",IF(L25&gt;=p_ipr_act,"Élevée",IF(L25&gt;=p_ipr_watch,"Moyenne","Faible"))))</f>
        <v/>
      </c>
      <c r="N25" s="54" t="str">
        <f>IF(OR(M25="",M25="À coter"),"",IF(OR(M25="Critique",M25="Élevée"),"Oui","Non"))</f>
        <v/>
      </c>
      <c r="O25" s="51" t="n"/>
      <c r="P25" s="51" t="n"/>
      <c r="Q25" s="55" t="n"/>
      <c r="R25" s="50" t="n"/>
      <c r="S25" s="55" t="n"/>
      <c r="T25" s="56" t="n"/>
      <c r="U25" s="52" t="n"/>
      <c r="V25" s="52" t="n"/>
      <c r="W25" s="52" t="n"/>
      <c r="X25" s="53" t="str">
        <f>IF(AND(L25&lt;&gt;"",IF(ISNUMBER(U25),AND(U25&gt;=1,U25&lt;=10,U25=INT(U25)),FALSE),IF(ISNUMBER(V25),AND(V25&gt;=1,V25&lt;=10,V25=INT(V25)),FALSE),IF(ISNUMBER(W25),AND(W25&gt;=1,W25&lt;=10,W25=INT(W25)),FALSE)),U25*V25*W25,"")</f>
        <v/>
      </c>
      <c r="Y25" s="54" t="str">
        <f>IF(X25="","",IF(OR(U25&gt;=p_gmin,X25&gt;=p_ipr_crit),"Critique",IF(X25&gt;=p_ipr_act,"Élevée",IF(X25&gt;=p_ipr_watch,"Moyenne","Faible"))))</f>
        <v/>
      </c>
      <c r="Z25" s="57" t="str">
        <f>IF(X25="","",(L25-X25)/L25)</f>
        <v/>
      </c>
      <c r="AA25" s="54" t="str">
        <f>IF(AND(D25="",O25=""),"",IF(O25="",IF(N25="Oui","Action à définir",IF(N25="Non","Sans action","")),IF(R25="Annulée","Annulée",IF(R25="Réalisée",IF(X25="","À réévaluer","Réalisée"),IF(N(Q25)=0,"Échéance manquante",IF(Q25&lt;p_today,"En retard",IF(Q25-p_today&lt;=p_alert,"Échéance proche","Dans les délais")))))))</f>
        <v/>
      </c>
      <c r="AB25" s="58" t="str">
        <f>IF(AND(A25="",B25="",D25="",F25="",H25="",K25="",O25=""),"",IF(D25="","Mode de défaillance manquant",IF(AND(A25&lt;&gt;"",COUNTIF(am_num,A25)&gt;1),"N° en double",IF(F25="","Gravité G manquante",IF(NOT(IF(ISNUMBER(F25),AND(F25&gt;=1,F25&lt;=10,F25=INT(F25)),FALSE)),"G : entier de 1 à 10",IF(H25="","Occurrence O manquante",IF(NOT(IF(ISNUMBER(H25),AND(H25&gt;=1,H25&lt;=10,H25=INT(H25)),FALSE)),"O : entier de 1 à 10",IF(K25="","Détection D manquante",IF(NOT(IF(ISNUMBER(K25),AND(K25&gt;=1,K25&lt;=10,K25=INT(K25)),FALSE)),"D : entier de 1 à 10",IF(G25="","Cause manquante",IF(AND(O25&lt;&gt;"",P25=""),"Responsable manquant",IF(AND(R25&lt;&gt;"",O25=""),"Statut sans action",IF(AND(R25="Réalisée",N(S25)=0),"Date de réalisation manquante",IF(AND(T25&lt;&gt;"",IF(ISNUMBER(T25),T25&lt;0,TRUE)),"Coût invalide",IF(AND(COUNTBLANK(U25:W25)&gt;0,COUNTBLANK(U25:W25)&lt;3),"Cotation après action incomplète",IF(AND(COUNTBLANK(U25:W25)=0,X25=""),"G', O', D' : entiers de 1 à 10",IF(AND(X25&lt;&gt;"",X25&gt;L25),"IPR après action plus élevé","OK")))))))))))))))))</f>
        <v/>
      </c>
      <c r="AC25" s="59" t="str">
        <f>IF(OR(AA25="En retard",AA25="Échéance proche",AA25="Dans les délais",AA25="Échéance manquante",AA25="Action à définir",AA25="À réévaluer"),IF(OR(plan_who="",P25=plan_who),IF(N(Q25)&gt;0,Q25,99999)*1000+ROW(),""),"")</f>
        <v/>
      </c>
      <c r="AD25" s="59" t="str">
        <f>IF(L25="","",L25*1000+1000-ROW())</f>
        <v/>
      </c>
      <c r="AE25" s="59" t="str">
        <f>IF(IF(AA25="En retard",1,IF(AA25="Action à définir",2,IF(AA25="Échéance manquante",3,IF(AA25="Échéance proche",4,IF(AA25="À réévaluer",5,0)))))=0,"",IF(AA25="En retard",1,IF(AA25="Action à définir",2,IF(AA25="Échéance manquante",3,IF(AA25="Échéance proche",4,IF(AA25="À réévaluer",5,0)))))*100000000+IF(N(Q25)&gt;0,Q25,99999)*1000+ROW())</f>
        <v/>
      </c>
      <c r="AF25" s="59" t="str">
        <f>IF(X25&lt;&gt;"",X25,L25)</f>
        <v/>
      </c>
      <c r="AG25" s="59" t="str">
        <f>IF(X25&lt;&gt;"",Y25,IF(L25&lt;&gt;"",M25,""))</f>
        <v/>
      </c>
      <c r="AH25" s="59" t="str">
        <f>IF(L25="","",IF(X25&lt;&gt;"",U25,F25))</f>
        <v/>
      </c>
      <c r="AI25" s="59" t="str">
        <f>IF(L25="","",IF(X25&lt;&gt;"",V25,H25))</f>
        <v/>
      </c>
    </row>
    <row r="26" ht="30" customHeight="1">
      <c r="A26" s="50" t="n"/>
      <c r="B26" s="51" t="n"/>
      <c r="C26" s="51" t="n"/>
      <c r="D26" s="51" t="n"/>
      <c r="E26" s="51" t="n"/>
      <c r="F26" s="52" t="n"/>
      <c r="G26" s="51" t="n"/>
      <c r="H26" s="52" t="n"/>
      <c r="I26" s="51" t="n"/>
      <c r="J26" s="51" t="n"/>
      <c r="K26" s="52" t="n"/>
      <c r="L26" s="53" t="str">
        <f>IF(AND(IF(ISNUMBER(F26),AND(F26&gt;=1,F26&lt;=10,F26=INT(F26)),FALSE),IF(ISNUMBER(H26),AND(H26&gt;=1,H26&lt;=10,H26=INT(H26)),FALSE),IF(ISNUMBER(K26),AND(K26&gt;=1,K26&lt;=10,K26=INT(K26)),FALSE)),F26*H26*K26,"")</f>
        <v/>
      </c>
      <c r="M26" s="54" t="str">
        <f>IF(L26="",IF(D26="","","À coter"),IF(OR(F26&gt;=p_gmin,L26&gt;=p_ipr_crit),"Critique",IF(L26&gt;=p_ipr_act,"Élevée",IF(L26&gt;=p_ipr_watch,"Moyenne","Faible"))))</f>
        <v/>
      </c>
      <c r="N26" s="54" t="str">
        <f>IF(OR(M26="",M26="À coter"),"",IF(OR(M26="Critique",M26="Élevée"),"Oui","Non"))</f>
        <v/>
      </c>
      <c r="O26" s="51" t="n"/>
      <c r="P26" s="51" t="n"/>
      <c r="Q26" s="55" t="n"/>
      <c r="R26" s="50" t="n"/>
      <c r="S26" s="55" t="n"/>
      <c r="T26" s="56" t="n"/>
      <c r="U26" s="52" t="n"/>
      <c r="V26" s="52" t="n"/>
      <c r="W26" s="52" t="n"/>
      <c r="X26" s="53" t="str">
        <f>IF(AND(L26&lt;&gt;"",IF(ISNUMBER(U26),AND(U26&gt;=1,U26&lt;=10,U26=INT(U26)),FALSE),IF(ISNUMBER(V26),AND(V26&gt;=1,V26&lt;=10,V26=INT(V26)),FALSE),IF(ISNUMBER(W26),AND(W26&gt;=1,W26&lt;=10,W26=INT(W26)),FALSE)),U26*V26*W26,"")</f>
        <v/>
      </c>
      <c r="Y26" s="54" t="str">
        <f>IF(X26="","",IF(OR(U26&gt;=p_gmin,X26&gt;=p_ipr_crit),"Critique",IF(X26&gt;=p_ipr_act,"Élevée",IF(X26&gt;=p_ipr_watch,"Moyenne","Faible"))))</f>
        <v/>
      </c>
      <c r="Z26" s="57" t="str">
        <f>IF(X26="","",(L26-X26)/L26)</f>
        <v/>
      </c>
      <c r="AA26" s="54" t="str">
        <f>IF(AND(D26="",O26=""),"",IF(O26="",IF(N26="Oui","Action à définir",IF(N26="Non","Sans action","")),IF(R26="Annulée","Annulée",IF(R26="Réalisée",IF(X26="","À réévaluer","Réalisée"),IF(N(Q26)=0,"Échéance manquante",IF(Q26&lt;p_today,"En retard",IF(Q26-p_today&lt;=p_alert,"Échéance proche","Dans les délais")))))))</f>
        <v/>
      </c>
      <c r="AB26" s="58" t="str">
        <f>IF(AND(A26="",B26="",D26="",F26="",H26="",K26="",O26=""),"",IF(D26="","Mode de défaillance manquant",IF(AND(A26&lt;&gt;"",COUNTIF(am_num,A26)&gt;1),"N° en double",IF(F26="","Gravité G manquante",IF(NOT(IF(ISNUMBER(F26),AND(F26&gt;=1,F26&lt;=10,F26=INT(F26)),FALSE)),"G : entier de 1 à 10",IF(H26="","Occurrence O manquante",IF(NOT(IF(ISNUMBER(H26),AND(H26&gt;=1,H26&lt;=10,H26=INT(H26)),FALSE)),"O : entier de 1 à 10",IF(K26="","Détection D manquante",IF(NOT(IF(ISNUMBER(K26),AND(K26&gt;=1,K26&lt;=10,K26=INT(K26)),FALSE)),"D : entier de 1 à 10",IF(G26="","Cause manquante",IF(AND(O26&lt;&gt;"",P26=""),"Responsable manquant",IF(AND(R26&lt;&gt;"",O26=""),"Statut sans action",IF(AND(R26="Réalisée",N(S26)=0),"Date de réalisation manquante",IF(AND(T26&lt;&gt;"",IF(ISNUMBER(T26),T26&lt;0,TRUE)),"Coût invalide",IF(AND(COUNTBLANK(U26:W26)&gt;0,COUNTBLANK(U26:W26)&lt;3),"Cotation après action incomplète",IF(AND(COUNTBLANK(U26:W26)=0,X26=""),"G', O', D' : entiers de 1 à 10",IF(AND(X26&lt;&gt;"",X26&gt;L26),"IPR après action plus élevé","OK")))))))))))))))))</f>
        <v/>
      </c>
      <c r="AC26" s="59" t="str">
        <f>IF(OR(AA26="En retard",AA26="Échéance proche",AA26="Dans les délais",AA26="Échéance manquante",AA26="Action à définir",AA26="À réévaluer"),IF(OR(plan_who="",P26=plan_who),IF(N(Q26)&gt;0,Q26,99999)*1000+ROW(),""),"")</f>
        <v/>
      </c>
      <c r="AD26" s="59" t="str">
        <f>IF(L26="","",L26*1000+1000-ROW())</f>
        <v/>
      </c>
      <c r="AE26" s="59" t="str">
        <f>IF(IF(AA26="En retard",1,IF(AA26="Action à définir",2,IF(AA26="Échéance manquante",3,IF(AA26="Échéance proche",4,IF(AA26="À réévaluer",5,0)))))=0,"",IF(AA26="En retard",1,IF(AA26="Action à définir",2,IF(AA26="Échéance manquante",3,IF(AA26="Échéance proche",4,IF(AA26="À réévaluer",5,0)))))*100000000+IF(N(Q26)&gt;0,Q26,99999)*1000+ROW())</f>
        <v/>
      </c>
      <c r="AF26" s="59" t="str">
        <f>IF(X26&lt;&gt;"",X26,L26)</f>
        <v/>
      </c>
      <c r="AG26" s="59" t="str">
        <f>IF(X26&lt;&gt;"",Y26,IF(L26&lt;&gt;"",M26,""))</f>
        <v/>
      </c>
      <c r="AH26" s="59" t="str">
        <f>IF(L26="","",IF(X26&lt;&gt;"",U26,F26))</f>
        <v/>
      </c>
      <c r="AI26" s="59" t="str">
        <f>IF(L26="","",IF(X26&lt;&gt;"",V26,H26))</f>
        <v/>
      </c>
    </row>
    <row r="27" ht="30" customHeight="1">
      <c r="A27" s="50" t="n"/>
      <c r="B27" s="51" t="n"/>
      <c r="C27" s="51" t="n"/>
      <c r="D27" s="51" t="n"/>
      <c r="E27" s="51" t="n"/>
      <c r="F27" s="52" t="n"/>
      <c r="G27" s="51" t="n"/>
      <c r="H27" s="52" t="n"/>
      <c r="I27" s="51" t="n"/>
      <c r="J27" s="51" t="n"/>
      <c r="K27" s="52" t="n"/>
      <c r="L27" s="53" t="str">
        <f>IF(AND(IF(ISNUMBER(F27),AND(F27&gt;=1,F27&lt;=10,F27=INT(F27)),FALSE),IF(ISNUMBER(H27),AND(H27&gt;=1,H27&lt;=10,H27=INT(H27)),FALSE),IF(ISNUMBER(K27),AND(K27&gt;=1,K27&lt;=10,K27=INT(K27)),FALSE)),F27*H27*K27,"")</f>
        <v/>
      </c>
      <c r="M27" s="54" t="str">
        <f>IF(L27="",IF(D27="","","À coter"),IF(OR(F27&gt;=p_gmin,L27&gt;=p_ipr_crit),"Critique",IF(L27&gt;=p_ipr_act,"Élevée",IF(L27&gt;=p_ipr_watch,"Moyenne","Faible"))))</f>
        <v/>
      </c>
      <c r="N27" s="54" t="str">
        <f>IF(OR(M27="",M27="À coter"),"",IF(OR(M27="Critique",M27="Élevée"),"Oui","Non"))</f>
        <v/>
      </c>
      <c r="O27" s="51" t="n"/>
      <c r="P27" s="51" t="n"/>
      <c r="Q27" s="55" t="n"/>
      <c r="R27" s="50" t="n"/>
      <c r="S27" s="55" t="n"/>
      <c r="T27" s="56" t="n"/>
      <c r="U27" s="52" t="n"/>
      <c r="V27" s="52" t="n"/>
      <c r="W27" s="52" t="n"/>
      <c r="X27" s="53" t="str">
        <f>IF(AND(L27&lt;&gt;"",IF(ISNUMBER(U27),AND(U27&gt;=1,U27&lt;=10,U27=INT(U27)),FALSE),IF(ISNUMBER(V27),AND(V27&gt;=1,V27&lt;=10,V27=INT(V27)),FALSE),IF(ISNUMBER(W27),AND(W27&gt;=1,W27&lt;=10,W27=INT(W27)),FALSE)),U27*V27*W27,"")</f>
        <v/>
      </c>
      <c r="Y27" s="54" t="str">
        <f>IF(X27="","",IF(OR(U27&gt;=p_gmin,X27&gt;=p_ipr_crit),"Critique",IF(X27&gt;=p_ipr_act,"Élevée",IF(X27&gt;=p_ipr_watch,"Moyenne","Faible"))))</f>
        <v/>
      </c>
      <c r="Z27" s="57" t="str">
        <f>IF(X27="","",(L27-X27)/L27)</f>
        <v/>
      </c>
      <c r="AA27" s="54" t="str">
        <f>IF(AND(D27="",O27=""),"",IF(O27="",IF(N27="Oui","Action à définir",IF(N27="Non","Sans action","")),IF(R27="Annulée","Annulée",IF(R27="Réalisée",IF(X27="","À réévaluer","Réalisée"),IF(N(Q27)=0,"Échéance manquante",IF(Q27&lt;p_today,"En retard",IF(Q27-p_today&lt;=p_alert,"Échéance proche","Dans les délais")))))))</f>
        <v/>
      </c>
      <c r="AB27" s="58" t="str">
        <f>IF(AND(A27="",B27="",D27="",F27="",H27="",K27="",O27=""),"",IF(D27="","Mode de défaillance manquant",IF(AND(A27&lt;&gt;"",COUNTIF(am_num,A27)&gt;1),"N° en double",IF(F27="","Gravité G manquante",IF(NOT(IF(ISNUMBER(F27),AND(F27&gt;=1,F27&lt;=10,F27=INT(F27)),FALSE)),"G : entier de 1 à 10",IF(H27="","Occurrence O manquante",IF(NOT(IF(ISNUMBER(H27),AND(H27&gt;=1,H27&lt;=10,H27=INT(H27)),FALSE)),"O : entier de 1 à 10",IF(K27="","Détection D manquante",IF(NOT(IF(ISNUMBER(K27),AND(K27&gt;=1,K27&lt;=10,K27=INT(K27)),FALSE)),"D : entier de 1 à 10",IF(G27="","Cause manquante",IF(AND(O27&lt;&gt;"",P27=""),"Responsable manquant",IF(AND(R27&lt;&gt;"",O27=""),"Statut sans action",IF(AND(R27="Réalisée",N(S27)=0),"Date de réalisation manquante",IF(AND(T27&lt;&gt;"",IF(ISNUMBER(T27),T27&lt;0,TRUE)),"Coût invalide",IF(AND(COUNTBLANK(U27:W27)&gt;0,COUNTBLANK(U27:W27)&lt;3),"Cotation après action incomplète",IF(AND(COUNTBLANK(U27:W27)=0,X27=""),"G', O', D' : entiers de 1 à 10",IF(AND(X27&lt;&gt;"",X27&gt;L27),"IPR après action plus élevé","OK")))))))))))))))))</f>
        <v/>
      </c>
      <c r="AC27" s="59" t="str">
        <f>IF(OR(AA27="En retard",AA27="Échéance proche",AA27="Dans les délais",AA27="Échéance manquante",AA27="Action à définir",AA27="À réévaluer"),IF(OR(plan_who="",P27=plan_who),IF(N(Q27)&gt;0,Q27,99999)*1000+ROW(),""),"")</f>
        <v/>
      </c>
      <c r="AD27" s="59" t="str">
        <f>IF(L27="","",L27*1000+1000-ROW())</f>
        <v/>
      </c>
      <c r="AE27" s="59" t="str">
        <f>IF(IF(AA27="En retard",1,IF(AA27="Action à définir",2,IF(AA27="Échéance manquante",3,IF(AA27="Échéance proche",4,IF(AA27="À réévaluer",5,0)))))=0,"",IF(AA27="En retard",1,IF(AA27="Action à définir",2,IF(AA27="Échéance manquante",3,IF(AA27="Échéance proche",4,IF(AA27="À réévaluer",5,0)))))*100000000+IF(N(Q27)&gt;0,Q27,99999)*1000+ROW())</f>
        <v/>
      </c>
      <c r="AF27" s="59" t="str">
        <f>IF(X27&lt;&gt;"",X27,L27)</f>
        <v/>
      </c>
      <c r="AG27" s="59" t="str">
        <f>IF(X27&lt;&gt;"",Y27,IF(L27&lt;&gt;"",M27,""))</f>
        <v/>
      </c>
      <c r="AH27" s="59" t="str">
        <f>IF(L27="","",IF(X27&lt;&gt;"",U27,F27))</f>
        <v/>
      </c>
      <c r="AI27" s="59" t="str">
        <f>IF(L27="","",IF(X27&lt;&gt;"",V27,H27))</f>
        <v/>
      </c>
    </row>
    <row r="28" ht="30" customHeight="1">
      <c r="A28" s="50" t="n"/>
      <c r="B28" s="51" t="n"/>
      <c r="C28" s="51" t="n"/>
      <c r="D28" s="51" t="n"/>
      <c r="E28" s="51" t="n"/>
      <c r="F28" s="52" t="n"/>
      <c r="G28" s="51" t="n"/>
      <c r="H28" s="52" t="n"/>
      <c r="I28" s="51" t="n"/>
      <c r="J28" s="51" t="n"/>
      <c r="K28" s="52" t="n"/>
      <c r="L28" s="53" t="str">
        <f>IF(AND(IF(ISNUMBER(F28),AND(F28&gt;=1,F28&lt;=10,F28=INT(F28)),FALSE),IF(ISNUMBER(H28),AND(H28&gt;=1,H28&lt;=10,H28=INT(H28)),FALSE),IF(ISNUMBER(K28),AND(K28&gt;=1,K28&lt;=10,K28=INT(K28)),FALSE)),F28*H28*K28,"")</f>
        <v/>
      </c>
      <c r="M28" s="54" t="str">
        <f>IF(L28="",IF(D28="","","À coter"),IF(OR(F28&gt;=p_gmin,L28&gt;=p_ipr_crit),"Critique",IF(L28&gt;=p_ipr_act,"Élevée",IF(L28&gt;=p_ipr_watch,"Moyenne","Faible"))))</f>
        <v/>
      </c>
      <c r="N28" s="54" t="str">
        <f>IF(OR(M28="",M28="À coter"),"",IF(OR(M28="Critique",M28="Élevée"),"Oui","Non"))</f>
        <v/>
      </c>
      <c r="O28" s="51" t="n"/>
      <c r="P28" s="51" t="n"/>
      <c r="Q28" s="55" t="n"/>
      <c r="R28" s="50" t="n"/>
      <c r="S28" s="55" t="n"/>
      <c r="T28" s="56" t="n"/>
      <c r="U28" s="52" t="n"/>
      <c r="V28" s="52" t="n"/>
      <c r="W28" s="52" t="n"/>
      <c r="X28" s="53" t="str">
        <f>IF(AND(L28&lt;&gt;"",IF(ISNUMBER(U28),AND(U28&gt;=1,U28&lt;=10,U28=INT(U28)),FALSE),IF(ISNUMBER(V28),AND(V28&gt;=1,V28&lt;=10,V28=INT(V28)),FALSE),IF(ISNUMBER(W28),AND(W28&gt;=1,W28&lt;=10,W28=INT(W28)),FALSE)),U28*V28*W28,"")</f>
        <v/>
      </c>
      <c r="Y28" s="54" t="str">
        <f>IF(X28="","",IF(OR(U28&gt;=p_gmin,X28&gt;=p_ipr_crit),"Critique",IF(X28&gt;=p_ipr_act,"Élevée",IF(X28&gt;=p_ipr_watch,"Moyenne","Faible"))))</f>
        <v/>
      </c>
      <c r="Z28" s="57" t="str">
        <f>IF(X28="","",(L28-X28)/L28)</f>
        <v/>
      </c>
      <c r="AA28" s="54" t="str">
        <f>IF(AND(D28="",O28=""),"",IF(O28="",IF(N28="Oui","Action à définir",IF(N28="Non","Sans action","")),IF(R28="Annulée","Annulée",IF(R28="Réalisée",IF(X28="","À réévaluer","Réalisée"),IF(N(Q28)=0,"Échéance manquante",IF(Q28&lt;p_today,"En retard",IF(Q28-p_today&lt;=p_alert,"Échéance proche","Dans les délais")))))))</f>
        <v/>
      </c>
      <c r="AB28" s="58" t="str">
        <f>IF(AND(A28="",B28="",D28="",F28="",H28="",K28="",O28=""),"",IF(D28="","Mode de défaillance manquant",IF(AND(A28&lt;&gt;"",COUNTIF(am_num,A28)&gt;1),"N° en double",IF(F28="","Gravité G manquante",IF(NOT(IF(ISNUMBER(F28),AND(F28&gt;=1,F28&lt;=10,F28=INT(F28)),FALSE)),"G : entier de 1 à 10",IF(H28="","Occurrence O manquante",IF(NOT(IF(ISNUMBER(H28),AND(H28&gt;=1,H28&lt;=10,H28=INT(H28)),FALSE)),"O : entier de 1 à 10",IF(K28="","Détection D manquante",IF(NOT(IF(ISNUMBER(K28),AND(K28&gt;=1,K28&lt;=10,K28=INT(K28)),FALSE)),"D : entier de 1 à 10",IF(G28="","Cause manquante",IF(AND(O28&lt;&gt;"",P28=""),"Responsable manquant",IF(AND(R28&lt;&gt;"",O28=""),"Statut sans action",IF(AND(R28="Réalisée",N(S28)=0),"Date de réalisation manquante",IF(AND(T28&lt;&gt;"",IF(ISNUMBER(T28),T28&lt;0,TRUE)),"Coût invalide",IF(AND(COUNTBLANK(U28:W28)&gt;0,COUNTBLANK(U28:W28)&lt;3),"Cotation après action incomplète",IF(AND(COUNTBLANK(U28:W28)=0,X28=""),"G', O', D' : entiers de 1 à 10",IF(AND(X28&lt;&gt;"",X28&gt;L28),"IPR après action plus élevé","OK")))))))))))))))))</f>
        <v/>
      </c>
      <c r="AC28" s="59" t="str">
        <f>IF(OR(AA28="En retard",AA28="Échéance proche",AA28="Dans les délais",AA28="Échéance manquante",AA28="Action à définir",AA28="À réévaluer"),IF(OR(plan_who="",P28=plan_who),IF(N(Q28)&gt;0,Q28,99999)*1000+ROW(),""),"")</f>
        <v/>
      </c>
      <c r="AD28" s="59" t="str">
        <f>IF(L28="","",L28*1000+1000-ROW())</f>
        <v/>
      </c>
      <c r="AE28" s="59" t="str">
        <f>IF(IF(AA28="En retard",1,IF(AA28="Action à définir",2,IF(AA28="Échéance manquante",3,IF(AA28="Échéance proche",4,IF(AA28="À réévaluer",5,0)))))=0,"",IF(AA28="En retard",1,IF(AA28="Action à définir",2,IF(AA28="Échéance manquante",3,IF(AA28="Échéance proche",4,IF(AA28="À réévaluer",5,0)))))*100000000+IF(N(Q28)&gt;0,Q28,99999)*1000+ROW())</f>
        <v/>
      </c>
      <c r="AF28" s="59" t="str">
        <f>IF(X28&lt;&gt;"",X28,L28)</f>
        <v/>
      </c>
      <c r="AG28" s="59" t="str">
        <f>IF(X28&lt;&gt;"",Y28,IF(L28&lt;&gt;"",M28,""))</f>
        <v/>
      </c>
      <c r="AH28" s="59" t="str">
        <f>IF(L28="","",IF(X28&lt;&gt;"",U28,F28))</f>
        <v/>
      </c>
      <c r="AI28" s="59" t="str">
        <f>IF(L28="","",IF(X28&lt;&gt;"",V28,H28))</f>
        <v/>
      </c>
    </row>
    <row r="29" ht="30" customHeight="1">
      <c r="A29" s="50" t="n"/>
      <c r="B29" s="51" t="n"/>
      <c r="C29" s="51" t="n"/>
      <c r="D29" s="51" t="n"/>
      <c r="E29" s="51" t="n"/>
      <c r="F29" s="52" t="n"/>
      <c r="G29" s="51" t="n"/>
      <c r="H29" s="52" t="n"/>
      <c r="I29" s="51" t="n"/>
      <c r="J29" s="51" t="n"/>
      <c r="K29" s="52" t="n"/>
      <c r="L29" s="53" t="str">
        <f>IF(AND(IF(ISNUMBER(F29),AND(F29&gt;=1,F29&lt;=10,F29=INT(F29)),FALSE),IF(ISNUMBER(H29),AND(H29&gt;=1,H29&lt;=10,H29=INT(H29)),FALSE),IF(ISNUMBER(K29),AND(K29&gt;=1,K29&lt;=10,K29=INT(K29)),FALSE)),F29*H29*K29,"")</f>
        <v/>
      </c>
      <c r="M29" s="54" t="str">
        <f>IF(L29="",IF(D29="","","À coter"),IF(OR(F29&gt;=p_gmin,L29&gt;=p_ipr_crit),"Critique",IF(L29&gt;=p_ipr_act,"Élevée",IF(L29&gt;=p_ipr_watch,"Moyenne","Faible"))))</f>
        <v/>
      </c>
      <c r="N29" s="54" t="str">
        <f>IF(OR(M29="",M29="À coter"),"",IF(OR(M29="Critique",M29="Élevée"),"Oui","Non"))</f>
        <v/>
      </c>
      <c r="O29" s="51" t="n"/>
      <c r="P29" s="51" t="n"/>
      <c r="Q29" s="55" t="n"/>
      <c r="R29" s="50" t="n"/>
      <c r="S29" s="55" t="n"/>
      <c r="T29" s="56" t="n"/>
      <c r="U29" s="52" t="n"/>
      <c r="V29" s="52" t="n"/>
      <c r="W29" s="52" t="n"/>
      <c r="X29" s="53" t="str">
        <f>IF(AND(L29&lt;&gt;"",IF(ISNUMBER(U29),AND(U29&gt;=1,U29&lt;=10,U29=INT(U29)),FALSE),IF(ISNUMBER(V29),AND(V29&gt;=1,V29&lt;=10,V29=INT(V29)),FALSE),IF(ISNUMBER(W29),AND(W29&gt;=1,W29&lt;=10,W29=INT(W29)),FALSE)),U29*V29*W29,"")</f>
        <v/>
      </c>
      <c r="Y29" s="54" t="str">
        <f>IF(X29="","",IF(OR(U29&gt;=p_gmin,X29&gt;=p_ipr_crit),"Critique",IF(X29&gt;=p_ipr_act,"Élevée",IF(X29&gt;=p_ipr_watch,"Moyenne","Faible"))))</f>
        <v/>
      </c>
      <c r="Z29" s="57" t="str">
        <f>IF(X29="","",(L29-X29)/L29)</f>
        <v/>
      </c>
      <c r="AA29" s="54" t="str">
        <f>IF(AND(D29="",O29=""),"",IF(O29="",IF(N29="Oui","Action à définir",IF(N29="Non","Sans action","")),IF(R29="Annulée","Annulée",IF(R29="Réalisée",IF(X29="","À réévaluer","Réalisée"),IF(N(Q29)=0,"Échéance manquante",IF(Q29&lt;p_today,"En retard",IF(Q29-p_today&lt;=p_alert,"Échéance proche","Dans les délais")))))))</f>
        <v/>
      </c>
      <c r="AB29" s="58" t="str">
        <f>IF(AND(A29="",B29="",D29="",F29="",H29="",K29="",O29=""),"",IF(D29="","Mode de défaillance manquant",IF(AND(A29&lt;&gt;"",COUNTIF(am_num,A29)&gt;1),"N° en double",IF(F29="","Gravité G manquante",IF(NOT(IF(ISNUMBER(F29),AND(F29&gt;=1,F29&lt;=10,F29=INT(F29)),FALSE)),"G : entier de 1 à 10",IF(H29="","Occurrence O manquante",IF(NOT(IF(ISNUMBER(H29),AND(H29&gt;=1,H29&lt;=10,H29=INT(H29)),FALSE)),"O : entier de 1 à 10",IF(K29="","Détection D manquante",IF(NOT(IF(ISNUMBER(K29),AND(K29&gt;=1,K29&lt;=10,K29=INT(K29)),FALSE)),"D : entier de 1 à 10",IF(G29="","Cause manquante",IF(AND(O29&lt;&gt;"",P29=""),"Responsable manquant",IF(AND(R29&lt;&gt;"",O29=""),"Statut sans action",IF(AND(R29="Réalisée",N(S29)=0),"Date de réalisation manquante",IF(AND(T29&lt;&gt;"",IF(ISNUMBER(T29),T29&lt;0,TRUE)),"Coût invalide",IF(AND(COUNTBLANK(U29:W29)&gt;0,COUNTBLANK(U29:W29)&lt;3),"Cotation après action incomplète",IF(AND(COUNTBLANK(U29:W29)=0,X29=""),"G', O', D' : entiers de 1 à 10",IF(AND(X29&lt;&gt;"",X29&gt;L29),"IPR après action plus élevé","OK")))))))))))))))))</f>
        <v/>
      </c>
      <c r="AC29" s="59" t="str">
        <f>IF(OR(AA29="En retard",AA29="Échéance proche",AA29="Dans les délais",AA29="Échéance manquante",AA29="Action à définir",AA29="À réévaluer"),IF(OR(plan_who="",P29=plan_who),IF(N(Q29)&gt;0,Q29,99999)*1000+ROW(),""),"")</f>
        <v/>
      </c>
      <c r="AD29" s="59" t="str">
        <f>IF(L29="","",L29*1000+1000-ROW())</f>
        <v/>
      </c>
      <c r="AE29" s="59" t="str">
        <f>IF(IF(AA29="En retard",1,IF(AA29="Action à définir",2,IF(AA29="Échéance manquante",3,IF(AA29="Échéance proche",4,IF(AA29="À réévaluer",5,0)))))=0,"",IF(AA29="En retard",1,IF(AA29="Action à définir",2,IF(AA29="Échéance manquante",3,IF(AA29="Échéance proche",4,IF(AA29="À réévaluer",5,0)))))*100000000+IF(N(Q29)&gt;0,Q29,99999)*1000+ROW())</f>
        <v/>
      </c>
      <c r="AF29" s="59" t="str">
        <f>IF(X29&lt;&gt;"",X29,L29)</f>
        <v/>
      </c>
      <c r="AG29" s="59" t="str">
        <f>IF(X29&lt;&gt;"",Y29,IF(L29&lt;&gt;"",M29,""))</f>
        <v/>
      </c>
      <c r="AH29" s="59" t="str">
        <f>IF(L29="","",IF(X29&lt;&gt;"",U29,F29))</f>
        <v/>
      </c>
      <c r="AI29" s="59" t="str">
        <f>IF(L29="","",IF(X29&lt;&gt;"",V29,H29))</f>
        <v/>
      </c>
    </row>
    <row r="30" ht="30" customHeight="1">
      <c r="A30" s="50" t="n"/>
      <c r="B30" s="51" t="n"/>
      <c r="C30" s="51" t="n"/>
      <c r="D30" s="51" t="n"/>
      <c r="E30" s="51" t="n"/>
      <c r="F30" s="52" t="n"/>
      <c r="G30" s="51" t="n"/>
      <c r="H30" s="52" t="n"/>
      <c r="I30" s="51" t="n"/>
      <c r="J30" s="51" t="n"/>
      <c r="K30" s="52" t="n"/>
      <c r="L30" s="53" t="str">
        <f>IF(AND(IF(ISNUMBER(F30),AND(F30&gt;=1,F30&lt;=10,F30=INT(F30)),FALSE),IF(ISNUMBER(H30),AND(H30&gt;=1,H30&lt;=10,H30=INT(H30)),FALSE),IF(ISNUMBER(K30),AND(K30&gt;=1,K30&lt;=10,K30=INT(K30)),FALSE)),F30*H30*K30,"")</f>
        <v/>
      </c>
      <c r="M30" s="54" t="str">
        <f>IF(L30="",IF(D30="","","À coter"),IF(OR(F30&gt;=p_gmin,L30&gt;=p_ipr_crit),"Critique",IF(L30&gt;=p_ipr_act,"Élevée",IF(L30&gt;=p_ipr_watch,"Moyenne","Faible"))))</f>
        <v/>
      </c>
      <c r="N30" s="54" t="str">
        <f>IF(OR(M30="",M30="À coter"),"",IF(OR(M30="Critique",M30="Élevée"),"Oui","Non"))</f>
        <v/>
      </c>
      <c r="O30" s="51" t="n"/>
      <c r="P30" s="51" t="n"/>
      <c r="Q30" s="55" t="n"/>
      <c r="R30" s="50" t="n"/>
      <c r="S30" s="55" t="n"/>
      <c r="T30" s="56" t="n"/>
      <c r="U30" s="52" t="n"/>
      <c r="V30" s="52" t="n"/>
      <c r="W30" s="52" t="n"/>
      <c r="X30" s="53" t="str">
        <f>IF(AND(L30&lt;&gt;"",IF(ISNUMBER(U30),AND(U30&gt;=1,U30&lt;=10,U30=INT(U30)),FALSE),IF(ISNUMBER(V30),AND(V30&gt;=1,V30&lt;=10,V30=INT(V30)),FALSE),IF(ISNUMBER(W30),AND(W30&gt;=1,W30&lt;=10,W30=INT(W30)),FALSE)),U30*V30*W30,"")</f>
        <v/>
      </c>
      <c r="Y30" s="54" t="str">
        <f>IF(X30="","",IF(OR(U30&gt;=p_gmin,X30&gt;=p_ipr_crit),"Critique",IF(X30&gt;=p_ipr_act,"Élevée",IF(X30&gt;=p_ipr_watch,"Moyenne","Faible"))))</f>
        <v/>
      </c>
      <c r="Z30" s="57" t="str">
        <f>IF(X30="","",(L30-X30)/L30)</f>
        <v/>
      </c>
      <c r="AA30" s="54" t="str">
        <f>IF(AND(D30="",O30=""),"",IF(O30="",IF(N30="Oui","Action à définir",IF(N30="Non","Sans action","")),IF(R30="Annulée","Annulée",IF(R30="Réalisée",IF(X30="","À réévaluer","Réalisée"),IF(N(Q30)=0,"Échéance manquante",IF(Q30&lt;p_today,"En retard",IF(Q30-p_today&lt;=p_alert,"Échéance proche","Dans les délais")))))))</f>
        <v/>
      </c>
      <c r="AB30" s="58" t="str">
        <f>IF(AND(A30="",B30="",D30="",F30="",H30="",K30="",O30=""),"",IF(D30="","Mode de défaillance manquant",IF(AND(A30&lt;&gt;"",COUNTIF(am_num,A30)&gt;1),"N° en double",IF(F30="","Gravité G manquante",IF(NOT(IF(ISNUMBER(F30),AND(F30&gt;=1,F30&lt;=10,F30=INT(F30)),FALSE)),"G : entier de 1 à 10",IF(H30="","Occurrence O manquante",IF(NOT(IF(ISNUMBER(H30),AND(H30&gt;=1,H30&lt;=10,H30=INT(H30)),FALSE)),"O : entier de 1 à 10",IF(K30="","Détection D manquante",IF(NOT(IF(ISNUMBER(K30),AND(K30&gt;=1,K30&lt;=10,K30=INT(K30)),FALSE)),"D : entier de 1 à 10",IF(G30="","Cause manquante",IF(AND(O30&lt;&gt;"",P30=""),"Responsable manquant",IF(AND(R30&lt;&gt;"",O30=""),"Statut sans action",IF(AND(R30="Réalisée",N(S30)=0),"Date de réalisation manquante",IF(AND(T30&lt;&gt;"",IF(ISNUMBER(T30),T30&lt;0,TRUE)),"Coût invalide",IF(AND(COUNTBLANK(U30:W30)&gt;0,COUNTBLANK(U30:W30)&lt;3),"Cotation après action incomplète",IF(AND(COUNTBLANK(U30:W30)=0,X30=""),"G', O', D' : entiers de 1 à 10",IF(AND(X30&lt;&gt;"",X30&gt;L30),"IPR après action plus élevé","OK")))))))))))))))))</f>
        <v/>
      </c>
      <c r="AC30" s="59" t="str">
        <f>IF(OR(AA30="En retard",AA30="Échéance proche",AA30="Dans les délais",AA30="Échéance manquante",AA30="Action à définir",AA30="À réévaluer"),IF(OR(plan_who="",P30=plan_who),IF(N(Q30)&gt;0,Q30,99999)*1000+ROW(),""),"")</f>
        <v/>
      </c>
      <c r="AD30" s="59" t="str">
        <f>IF(L30="","",L30*1000+1000-ROW())</f>
        <v/>
      </c>
      <c r="AE30" s="59" t="str">
        <f>IF(IF(AA30="En retard",1,IF(AA30="Action à définir",2,IF(AA30="Échéance manquante",3,IF(AA30="Échéance proche",4,IF(AA30="À réévaluer",5,0)))))=0,"",IF(AA30="En retard",1,IF(AA30="Action à définir",2,IF(AA30="Échéance manquante",3,IF(AA30="Échéance proche",4,IF(AA30="À réévaluer",5,0)))))*100000000+IF(N(Q30)&gt;0,Q30,99999)*1000+ROW())</f>
        <v/>
      </c>
      <c r="AF30" s="59" t="str">
        <f>IF(X30&lt;&gt;"",X30,L30)</f>
        <v/>
      </c>
      <c r="AG30" s="59" t="str">
        <f>IF(X30&lt;&gt;"",Y30,IF(L30&lt;&gt;"",M30,""))</f>
        <v/>
      </c>
      <c r="AH30" s="59" t="str">
        <f>IF(L30="","",IF(X30&lt;&gt;"",U30,F30))</f>
        <v/>
      </c>
      <c r="AI30" s="59" t="str">
        <f>IF(L30="","",IF(X30&lt;&gt;"",V30,H30))</f>
        <v/>
      </c>
    </row>
    <row r="31" ht="30" customHeight="1">
      <c r="A31" s="50" t="n"/>
      <c r="B31" s="51" t="n"/>
      <c r="C31" s="51" t="n"/>
      <c r="D31" s="51" t="n"/>
      <c r="E31" s="51" t="n"/>
      <c r="F31" s="52" t="n"/>
      <c r="G31" s="51" t="n"/>
      <c r="H31" s="52" t="n"/>
      <c r="I31" s="51" t="n"/>
      <c r="J31" s="51" t="n"/>
      <c r="K31" s="52" t="n"/>
      <c r="L31" s="53" t="str">
        <f>IF(AND(IF(ISNUMBER(F31),AND(F31&gt;=1,F31&lt;=10,F31=INT(F31)),FALSE),IF(ISNUMBER(H31),AND(H31&gt;=1,H31&lt;=10,H31=INT(H31)),FALSE),IF(ISNUMBER(K31),AND(K31&gt;=1,K31&lt;=10,K31=INT(K31)),FALSE)),F31*H31*K31,"")</f>
        <v/>
      </c>
      <c r="M31" s="54" t="str">
        <f>IF(L31="",IF(D31="","","À coter"),IF(OR(F31&gt;=p_gmin,L31&gt;=p_ipr_crit),"Critique",IF(L31&gt;=p_ipr_act,"Élevée",IF(L31&gt;=p_ipr_watch,"Moyenne","Faible"))))</f>
        <v/>
      </c>
      <c r="N31" s="54" t="str">
        <f>IF(OR(M31="",M31="À coter"),"",IF(OR(M31="Critique",M31="Élevée"),"Oui","Non"))</f>
        <v/>
      </c>
      <c r="O31" s="51" t="n"/>
      <c r="P31" s="51" t="n"/>
      <c r="Q31" s="55" t="n"/>
      <c r="R31" s="50" t="n"/>
      <c r="S31" s="55" t="n"/>
      <c r="T31" s="56" t="n"/>
      <c r="U31" s="52" t="n"/>
      <c r="V31" s="52" t="n"/>
      <c r="W31" s="52" t="n"/>
      <c r="X31" s="53" t="str">
        <f>IF(AND(L31&lt;&gt;"",IF(ISNUMBER(U31),AND(U31&gt;=1,U31&lt;=10,U31=INT(U31)),FALSE),IF(ISNUMBER(V31),AND(V31&gt;=1,V31&lt;=10,V31=INT(V31)),FALSE),IF(ISNUMBER(W31),AND(W31&gt;=1,W31&lt;=10,W31=INT(W31)),FALSE)),U31*V31*W31,"")</f>
        <v/>
      </c>
      <c r="Y31" s="54" t="str">
        <f>IF(X31="","",IF(OR(U31&gt;=p_gmin,X31&gt;=p_ipr_crit),"Critique",IF(X31&gt;=p_ipr_act,"Élevée",IF(X31&gt;=p_ipr_watch,"Moyenne","Faible"))))</f>
        <v/>
      </c>
      <c r="Z31" s="57" t="str">
        <f>IF(X31="","",(L31-X31)/L31)</f>
        <v/>
      </c>
      <c r="AA31" s="54" t="str">
        <f>IF(AND(D31="",O31=""),"",IF(O31="",IF(N31="Oui","Action à définir",IF(N31="Non","Sans action","")),IF(R31="Annulée","Annulée",IF(R31="Réalisée",IF(X31="","À réévaluer","Réalisée"),IF(N(Q31)=0,"Échéance manquante",IF(Q31&lt;p_today,"En retard",IF(Q31-p_today&lt;=p_alert,"Échéance proche","Dans les délais")))))))</f>
        <v/>
      </c>
      <c r="AB31" s="58" t="str">
        <f>IF(AND(A31="",B31="",D31="",F31="",H31="",K31="",O31=""),"",IF(D31="","Mode de défaillance manquant",IF(AND(A31&lt;&gt;"",COUNTIF(am_num,A31)&gt;1),"N° en double",IF(F31="","Gravité G manquante",IF(NOT(IF(ISNUMBER(F31),AND(F31&gt;=1,F31&lt;=10,F31=INT(F31)),FALSE)),"G : entier de 1 à 10",IF(H31="","Occurrence O manquante",IF(NOT(IF(ISNUMBER(H31),AND(H31&gt;=1,H31&lt;=10,H31=INT(H31)),FALSE)),"O : entier de 1 à 10",IF(K31="","Détection D manquante",IF(NOT(IF(ISNUMBER(K31),AND(K31&gt;=1,K31&lt;=10,K31=INT(K31)),FALSE)),"D : entier de 1 à 10",IF(G31="","Cause manquante",IF(AND(O31&lt;&gt;"",P31=""),"Responsable manquant",IF(AND(R31&lt;&gt;"",O31=""),"Statut sans action",IF(AND(R31="Réalisée",N(S31)=0),"Date de réalisation manquante",IF(AND(T31&lt;&gt;"",IF(ISNUMBER(T31),T31&lt;0,TRUE)),"Coût invalide",IF(AND(COUNTBLANK(U31:W31)&gt;0,COUNTBLANK(U31:W31)&lt;3),"Cotation après action incomplète",IF(AND(COUNTBLANK(U31:W31)=0,X31=""),"G', O', D' : entiers de 1 à 10",IF(AND(X31&lt;&gt;"",X31&gt;L31),"IPR après action plus élevé","OK")))))))))))))))))</f>
        <v/>
      </c>
      <c r="AC31" s="59" t="str">
        <f>IF(OR(AA31="En retard",AA31="Échéance proche",AA31="Dans les délais",AA31="Échéance manquante",AA31="Action à définir",AA31="À réévaluer"),IF(OR(plan_who="",P31=plan_who),IF(N(Q31)&gt;0,Q31,99999)*1000+ROW(),""),"")</f>
        <v/>
      </c>
      <c r="AD31" s="59" t="str">
        <f>IF(L31="","",L31*1000+1000-ROW())</f>
        <v/>
      </c>
      <c r="AE31" s="59" t="str">
        <f>IF(IF(AA31="En retard",1,IF(AA31="Action à définir",2,IF(AA31="Échéance manquante",3,IF(AA31="Échéance proche",4,IF(AA31="À réévaluer",5,0)))))=0,"",IF(AA31="En retard",1,IF(AA31="Action à définir",2,IF(AA31="Échéance manquante",3,IF(AA31="Échéance proche",4,IF(AA31="À réévaluer",5,0)))))*100000000+IF(N(Q31)&gt;0,Q31,99999)*1000+ROW())</f>
        <v/>
      </c>
      <c r="AF31" s="59" t="str">
        <f>IF(X31&lt;&gt;"",X31,L31)</f>
        <v/>
      </c>
      <c r="AG31" s="59" t="str">
        <f>IF(X31&lt;&gt;"",Y31,IF(L31&lt;&gt;"",M31,""))</f>
        <v/>
      </c>
      <c r="AH31" s="59" t="str">
        <f>IF(L31="","",IF(X31&lt;&gt;"",U31,F31))</f>
        <v/>
      </c>
      <c r="AI31" s="59" t="str">
        <f>IF(L31="","",IF(X31&lt;&gt;"",V31,H31))</f>
        <v/>
      </c>
    </row>
    <row r="32" ht="30" customHeight="1">
      <c r="A32" s="50" t="n"/>
      <c r="B32" s="51" t="n"/>
      <c r="C32" s="51" t="n"/>
      <c r="D32" s="51" t="n"/>
      <c r="E32" s="51" t="n"/>
      <c r="F32" s="52" t="n"/>
      <c r="G32" s="51" t="n"/>
      <c r="H32" s="52" t="n"/>
      <c r="I32" s="51" t="n"/>
      <c r="J32" s="51" t="n"/>
      <c r="K32" s="52" t="n"/>
      <c r="L32" s="53" t="str">
        <f>IF(AND(IF(ISNUMBER(F32),AND(F32&gt;=1,F32&lt;=10,F32=INT(F32)),FALSE),IF(ISNUMBER(H32),AND(H32&gt;=1,H32&lt;=10,H32=INT(H32)),FALSE),IF(ISNUMBER(K32),AND(K32&gt;=1,K32&lt;=10,K32=INT(K32)),FALSE)),F32*H32*K32,"")</f>
        <v/>
      </c>
      <c r="M32" s="54" t="str">
        <f>IF(L32="",IF(D32="","","À coter"),IF(OR(F32&gt;=p_gmin,L32&gt;=p_ipr_crit),"Critique",IF(L32&gt;=p_ipr_act,"Élevée",IF(L32&gt;=p_ipr_watch,"Moyenne","Faible"))))</f>
        <v/>
      </c>
      <c r="N32" s="54" t="str">
        <f>IF(OR(M32="",M32="À coter"),"",IF(OR(M32="Critique",M32="Élevée"),"Oui","Non"))</f>
        <v/>
      </c>
      <c r="O32" s="51" t="n"/>
      <c r="P32" s="51" t="n"/>
      <c r="Q32" s="55" t="n"/>
      <c r="R32" s="50" t="n"/>
      <c r="S32" s="55" t="n"/>
      <c r="T32" s="56" t="n"/>
      <c r="U32" s="52" t="n"/>
      <c r="V32" s="52" t="n"/>
      <c r="W32" s="52" t="n"/>
      <c r="X32" s="53" t="str">
        <f>IF(AND(L32&lt;&gt;"",IF(ISNUMBER(U32),AND(U32&gt;=1,U32&lt;=10,U32=INT(U32)),FALSE),IF(ISNUMBER(V32),AND(V32&gt;=1,V32&lt;=10,V32=INT(V32)),FALSE),IF(ISNUMBER(W32),AND(W32&gt;=1,W32&lt;=10,W32=INT(W32)),FALSE)),U32*V32*W32,"")</f>
        <v/>
      </c>
      <c r="Y32" s="54" t="str">
        <f>IF(X32="","",IF(OR(U32&gt;=p_gmin,X32&gt;=p_ipr_crit),"Critique",IF(X32&gt;=p_ipr_act,"Élevée",IF(X32&gt;=p_ipr_watch,"Moyenne","Faible"))))</f>
        <v/>
      </c>
      <c r="Z32" s="57" t="str">
        <f>IF(X32="","",(L32-X32)/L32)</f>
        <v/>
      </c>
      <c r="AA32" s="54" t="str">
        <f>IF(AND(D32="",O32=""),"",IF(O32="",IF(N32="Oui","Action à définir",IF(N32="Non","Sans action","")),IF(R32="Annulée","Annulée",IF(R32="Réalisée",IF(X32="","À réévaluer","Réalisée"),IF(N(Q32)=0,"Échéance manquante",IF(Q32&lt;p_today,"En retard",IF(Q32-p_today&lt;=p_alert,"Échéance proche","Dans les délais")))))))</f>
        <v/>
      </c>
      <c r="AB32" s="58" t="str">
        <f>IF(AND(A32="",B32="",D32="",F32="",H32="",K32="",O32=""),"",IF(D32="","Mode de défaillance manquant",IF(AND(A32&lt;&gt;"",COUNTIF(am_num,A32)&gt;1),"N° en double",IF(F32="","Gravité G manquante",IF(NOT(IF(ISNUMBER(F32),AND(F32&gt;=1,F32&lt;=10,F32=INT(F32)),FALSE)),"G : entier de 1 à 10",IF(H32="","Occurrence O manquante",IF(NOT(IF(ISNUMBER(H32),AND(H32&gt;=1,H32&lt;=10,H32=INT(H32)),FALSE)),"O : entier de 1 à 10",IF(K32="","Détection D manquante",IF(NOT(IF(ISNUMBER(K32),AND(K32&gt;=1,K32&lt;=10,K32=INT(K32)),FALSE)),"D : entier de 1 à 10",IF(G32="","Cause manquante",IF(AND(O32&lt;&gt;"",P32=""),"Responsable manquant",IF(AND(R32&lt;&gt;"",O32=""),"Statut sans action",IF(AND(R32="Réalisée",N(S32)=0),"Date de réalisation manquante",IF(AND(T32&lt;&gt;"",IF(ISNUMBER(T32),T32&lt;0,TRUE)),"Coût invalide",IF(AND(COUNTBLANK(U32:W32)&gt;0,COUNTBLANK(U32:W32)&lt;3),"Cotation après action incomplète",IF(AND(COUNTBLANK(U32:W32)=0,X32=""),"G', O', D' : entiers de 1 à 10",IF(AND(X32&lt;&gt;"",X32&gt;L32),"IPR après action plus élevé","OK")))))))))))))))))</f>
        <v/>
      </c>
      <c r="AC32" s="59" t="str">
        <f>IF(OR(AA32="En retard",AA32="Échéance proche",AA32="Dans les délais",AA32="Échéance manquante",AA32="Action à définir",AA32="À réévaluer"),IF(OR(plan_who="",P32=plan_who),IF(N(Q32)&gt;0,Q32,99999)*1000+ROW(),""),"")</f>
        <v/>
      </c>
      <c r="AD32" s="59" t="str">
        <f>IF(L32="","",L32*1000+1000-ROW())</f>
        <v/>
      </c>
      <c r="AE32" s="59" t="str">
        <f>IF(IF(AA32="En retard",1,IF(AA32="Action à définir",2,IF(AA32="Échéance manquante",3,IF(AA32="Échéance proche",4,IF(AA32="À réévaluer",5,0)))))=0,"",IF(AA32="En retard",1,IF(AA32="Action à définir",2,IF(AA32="Échéance manquante",3,IF(AA32="Échéance proche",4,IF(AA32="À réévaluer",5,0)))))*100000000+IF(N(Q32)&gt;0,Q32,99999)*1000+ROW())</f>
        <v/>
      </c>
      <c r="AF32" s="59" t="str">
        <f>IF(X32&lt;&gt;"",X32,L32)</f>
        <v/>
      </c>
      <c r="AG32" s="59" t="str">
        <f>IF(X32&lt;&gt;"",Y32,IF(L32&lt;&gt;"",M32,""))</f>
        <v/>
      </c>
      <c r="AH32" s="59" t="str">
        <f>IF(L32="","",IF(X32&lt;&gt;"",U32,F32))</f>
        <v/>
      </c>
      <c r="AI32" s="59" t="str">
        <f>IF(L32="","",IF(X32&lt;&gt;"",V32,H32))</f>
        <v/>
      </c>
    </row>
    <row r="33" ht="30" customHeight="1">
      <c r="A33" s="50" t="n"/>
      <c r="B33" s="51" t="n"/>
      <c r="C33" s="51" t="n"/>
      <c r="D33" s="51" t="n"/>
      <c r="E33" s="51" t="n"/>
      <c r="F33" s="52" t="n"/>
      <c r="G33" s="51" t="n"/>
      <c r="H33" s="52" t="n"/>
      <c r="I33" s="51" t="n"/>
      <c r="J33" s="51" t="n"/>
      <c r="K33" s="52" t="n"/>
      <c r="L33" s="53" t="str">
        <f>IF(AND(IF(ISNUMBER(F33),AND(F33&gt;=1,F33&lt;=10,F33=INT(F33)),FALSE),IF(ISNUMBER(H33),AND(H33&gt;=1,H33&lt;=10,H33=INT(H33)),FALSE),IF(ISNUMBER(K33),AND(K33&gt;=1,K33&lt;=10,K33=INT(K33)),FALSE)),F33*H33*K33,"")</f>
        <v/>
      </c>
      <c r="M33" s="54" t="str">
        <f>IF(L33="",IF(D33="","","À coter"),IF(OR(F33&gt;=p_gmin,L33&gt;=p_ipr_crit),"Critique",IF(L33&gt;=p_ipr_act,"Élevée",IF(L33&gt;=p_ipr_watch,"Moyenne","Faible"))))</f>
        <v/>
      </c>
      <c r="N33" s="54" t="str">
        <f>IF(OR(M33="",M33="À coter"),"",IF(OR(M33="Critique",M33="Élevée"),"Oui","Non"))</f>
        <v/>
      </c>
      <c r="O33" s="51" t="n"/>
      <c r="P33" s="51" t="n"/>
      <c r="Q33" s="55" t="n"/>
      <c r="R33" s="50" t="n"/>
      <c r="S33" s="55" t="n"/>
      <c r="T33" s="56" t="n"/>
      <c r="U33" s="52" t="n"/>
      <c r="V33" s="52" t="n"/>
      <c r="W33" s="52" t="n"/>
      <c r="X33" s="53" t="str">
        <f>IF(AND(L33&lt;&gt;"",IF(ISNUMBER(U33),AND(U33&gt;=1,U33&lt;=10,U33=INT(U33)),FALSE),IF(ISNUMBER(V33),AND(V33&gt;=1,V33&lt;=10,V33=INT(V33)),FALSE),IF(ISNUMBER(W33),AND(W33&gt;=1,W33&lt;=10,W33=INT(W33)),FALSE)),U33*V33*W33,"")</f>
        <v/>
      </c>
      <c r="Y33" s="54" t="str">
        <f>IF(X33="","",IF(OR(U33&gt;=p_gmin,X33&gt;=p_ipr_crit),"Critique",IF(X33&gt;=p_ipr_act,"Élevée",IF(X33&gt;=p_ipr_watch,"Moyenne","Faible"))))</f>
        <v/>
      </c>
      <c r="Z33" s="57" t="str">
        <f>IF(X33="","",(L33-X33)/L33)</f>
        <v/>
      </c>
      <c r="AA33" s="54" t="str">
        <f>IF(AND(D33="",O33=""),"",IF(O33="",IF(N33="Oui","Action à définir",IF(N33="Non","Sans action","")),IF(R33="Annulée","Annulée",IF(R33="Réalisée",IF(X33="","À réévaluer","Réalisée"),IF(N(Q33)=0,"Échéance manquante",IF(Q33&lt;p_today,"En retard",IF(Q33-p_today&lt;=p_alert,"Échéance proche","Dans les délais")))))))</f>
        <v/>
      </c>
      <c r="AB33" s="58" t="str">
        <f>IF(AND(A33="",B33="",D33="",F33="",H33="",K33="",O33=""),"",IF(D33="","Mode de défaillance manquant",IF(AND(A33&lt;&gt;"",COUNTIF(am_num,A33)&gt;1),"N° en double",IF(F33="","Gravité G manquante",IF(NOT(IF(ISNUMBER(F33),AND(F33&gt;=1,F33&lt;=10,F33=INT(F33)),FALSE)),"G : entier de 1 à 10",IF(H33="","Occurrence O manquante",IF(NOT(IF(ISNUMBER(H33),AND(H33&gt;=1,H33&lt;=10,H33=INT(H33)),FALSE)),"O : entier de 1 à 10",IF(K33="","Détection D manquante",IF(NOT(IF(ISNUMBER(K33),AND(K33&gt;=1,K33&lt;=10,K33=INT(K33)),FALSE)),"D : entier de 1 à 10",IF(G33="","Cause manquante",IF(AND(O33&lt;&gt;"",P33=""),"Responsable manquant",IF(AND(R33&lt;&gt;"",O33=""),"Statut sans action",IF(AND(R33="Réalisée",N(S33)=0),"Date de réalisation manquante",IF(AND(T33&lt;&gt;"",IF(ISNUMBER(T33),T33&lt;0,TRUE)),"Coût invalide",IF(AND(COUNTBLANK(U33:W33)&gt;0,COUNTBLANK(U33:W33)&lt;3),"Cotation après action incomplète",IF(AND(COUNTBLANK(U33:W33)=0,X33=""),"G', O', D' : entiers de 1 à 10",IF(AND(X33&lt;&gt;"",X33&gt;L33),"IPR après action plus élevé","OK")))))))))))))))))</f>
        <v/>
      </c>
      <c r="AC33" s="59" t="str">
        <f>IF(OR(AA33="En retard",AA33="Échéance proche",AA33="Dans les délais",AA33="Échéance manquante",AA33="Action à définir",AA33="À réévaluer"),IF(OR(plan_who="",P33=plan_who),IF(N(Q33)&gt;0,Q33,99999)*1000+ROW(),""),"")</f>
        <v/>
      </c>
      <c r="AD33" s="59" t="str">
        <f>IF(L33="","",L33*1000+1000-ROW())</f>
        <v/>
      </c>
      <c r="AE33" s="59" t="str">
        <f>IF(IF(AA33="En retard",1,IF(AA33="Action à définir",2,IF(AA33="Échéance manquante",3,IF(AA33="Échéance proche",4,IF(AA33="À réévaluer",5,0)))))=0,"",IF(AA33="En retard",1,IF(AA33="Action à définir",2,IF(AA33="Échéance manquante",3,IF(AA33="Échéance proche",4,IF(AA33="À réévaluer",5,0)))))*100000000+IF(N(Q33)&gt;0,Q33,99999)*1000+ROW())</f>
        <v/>
      </c>
      <c r="AF33" s="59" t="str">
        <f>IF(X33&lt;&gt;"",X33,L33)</f>
        <v/>
      </c>
      <c r="AG33" s="59" t="str">
        <f>IF(X33&lt;&gt;"",Y33,IF(L33&lt;&gt;"",M33,""))</f>
        <v/>
      </c>
      <c r="AH33" s="59" t="str">
        <f>IF(L33="","",IF(X33&lt;&gt;"",U33,F33))</f>
        <v/>
      </c>
      <c r="AI33" s="59" t="str">
        <f>IF(L33="","",IF(X33&lt;&gt;"",V33,H33))</f>
        <v/>
      </c>
    </row>
    <row r="34" ht="30" customHeight="1">
      <c r="A34" s="50" t="n"/>
      <c r="B34" s="51" t="n"/>
      <c r="C34" s="51" t="n"/>
      <c r="D34" s="51" t="n"/>
      <c r="E34" s="51" t="n"/>
      <c r="F34" s="52" t="n"/>
      <c r="G34" s="51" t="n"/>
      <c r="H34" s="52" t="n"/>
      <c r="I34" s="51" t="n"/>
      <c r="J34" s="51" t="n"/>
      <c r="K34" s="52" t="n"/>
      <c r="L34" s="53" t="str">
        <f>IF(AND(IF(ISNUMBER(F34),AND(F34&gt;=1,F34&lt;=10,F34=INT(F34)),FALSE),IF(ISNUMBER(H34),AND(H34&gt;=1,H34&lt;=10,H34=INT(H34)),FALSE),IF(ISNUMBER(K34),AND(K34&gt;=1,K34&lt;=10,K34=INT(K34)),FALSE)),F34*H34*K34,"")</f>
        <v/>
      </c>
      <c r="M34" s="54" t="str">
        <f>IF(L34="",IF(D34="","","À coter"),IF(OR(F34&gt;=p_gmin,L34&gt;=p_ipr_crit),"Critique",IF(L34&gt;=p_ipr_act,"Élevée",IF(L34&gt;=p_ipr_watch,"Moyenne","Faible"))))</f>
        <v/>
      </c>
      <c r="N34" s="54" t="str">
        <f>IF(OR(M34="",M34="À coter"),"",IF(OR(M34="Critique",M34="Élevée"),"Oui","Non"))</f>
        <v/>
      </c>
      <c r="O34" s="51" t="n"/>
      <c r="P34" s="51" t="n"/>
      <c r="Q34" s="55" t="n"/>
      <c r="R34" s="50" t="n"/>
      <c r="S34" s="55" t="n"/>
      <c r="T34" s="56" t="n"/>
      <c r="U34" s="52" t="n"/>
      <c r="V34" s="52" t="n"/>
      <c r="W34" s="52" t="n"/>
      <c r="X34" s="53" t="str">
        <f>IF(AND(L34&lt;&gt;"",IF(ISNUMBER(U34),AND(U34&gt;=1,U34&lt;=10,U34=INT(U34)),FALSE),IF(ISNUMBER(V34),AND(V34&gt;=1,V34&lt;=10,V34=INT(V34)),FALSE),IF(ISNUMBER(W34),AND(W34&gt;=1,W34&lt;=10,W34=INT(W34)),FALSE)),U34*V34*W34,"")</f>
        <v/>
      </c>
      <c r="Y34" s="54" t="str">
        <f>IF(X34="","",IF(OR(U34&gt;=p_gmin,X34&gt;=p_ipr_crit),"Critique",IF(X34&gt;=p_ipr_act,"Élevée",IF(X34&gt;=p_ipr_watch,"Moyenne","Faible"))))</f>
        <v/>
      </c>
      <c r="Z34" s="57" t="str">
        <f>IF(X34="","",(L34-X34)/L34)</f>
        <v/>
      </c>
      <c r="AA34" s="54" t="str">
        <f>IF(AND(D34="",O34=""),"",IF(O34="",IF(N34="Oui","Action à définir",IF(N34="Non","Sans action","")),IF(R34="Annulée","Annulée",IF(R34="Réalisée",IF(X34="","À réévaluer","Réalisée"),IF(N(Q34)=0,"Échéance manquante",IF(Q34&lt;p_today,"En retard",IF(Q34-p_today&lt;=p_alert,"Échéance proche","Dans les délais")))))))</f>
        <v/>
      </c>
      <c r="AB34" s="58" t="str">
        <f>IF(AND(A34="",B34="",D34="",F34="",H34="",K34="",O34=""),"",IF(D34="","Mode de défaillance manquant",IF(AND(A34&lt;&gt;"",COUNTIF(am_num,A34)&gt;1),"N° en double",IF(F34="","Gravité G manquante",IF(NOT(IF(ISNUMBER(F34),AND(F34&gt;=1,F34&lt;=10,F34=INT(F34)),FALSE)),"G : entier de 1 à 10",IF(H34="","Occurrence O manquante",IF(NOT(IF(ISNUMBER(H34),AND(H34&gt;=1,H34&lt;=10,H34=INT(H34)),FALSE)),"O : entier de 1 à 10",IF(K34="","Détection D manquante",IF(NOT(IF(ISNUMBER(K34),AND(K34&gt;=1,K34&lt;=10,K34=INT(K34)),FALSE)),"D : entier de 1 à 10",IF(G34="","Cause manquante",IF(AND(O34&lt;&gt;"",P34=""),"Responsable manquant",IF(AND(R34&lt;&gt;"",O34=""),"Statut sans action",IF(AND(R34="Réalisée",N(S34)=0),"Date de réalisation manquante",IF(AND(T34&lt;&gt;"",IF(ISNUMBER(T34),T34&lt;0,TRUE)),"Coût invalide",IF(AND(COUNTBLANK(U34:W34)&gt;0,COUNTBLANK(U34:W34)&lt;3),"Cotation après action incomplète",IF(AND(COUNTBLANK(U34:W34)=0,X34=""),"G', O', D' : entiers de 1 à 10",IF(AND(X34&lt;&gt;"",X34&gt;L34),"IPR après action plus élevé","OK")))))))))))))))))</f>
        <v/>
      </c>
      <c r="AC34" s="59" t="str">
        <f>IF(OR(AA34="En retard",AA34="Échéance proche",AA34="Dans les délais",AA34="Échéance manquante",AA34="Action à définir",AA34="À réévaluer"),IF(OR(plan_who="",P34=plan_who),IF(N(Q34)&gt;0,Q34,99999)*1000+ROW(),""),"")</f>
        <v/>
      </c>
      <c r="AD34" s="59" t="str">
        <f>IF(L34="","",L34*1000+1000-ROW())</f>
        <v/>
      </c>
      <c r="AE34" s="59" t="str">
        <f>IF(IF(AA34="En retard",1,IF(AA34="Action à définir",2,IF(AA34="Échéance manquante",3,IF(AA34="Échéance proche",4,IF(AA34="À réévaluer",5,0)))))=0,"",IF(AA34="En retard",1,IF(AA34="Action à définir",2,IF(AA34="Échéance manquante",3,IF(AA34="Échéance proche",4,IF(AA34="À réévaluer",5,0)))))*100000000+IF(N(Q34)&gt;0,Q34,99999)*1000+ROW())</f>
        <v/>
      </c>
      <c r="AF34" s="59" t="str">
        <f>IF(X34&lt;&gt;"",X34,L34)</f>
        <v/>
      </c>
      <c r="AG34" s="59" t="str">
        <f>IF(X34&lt;&gt;"",Y34,IF(L34&lt;&gt;"",M34,""))</f>
        <v/>
      </c>
      <c r="AH34" s="59" t="str">
        <f>IF(L34="","",IF(X34&lt;&gt;"",U34,F34))</f>
        <v/>
      </c>
      <c r="AI34" s="59" t="str">
        <f>IF(L34="","",IF(X34&lt;&gt;"",V34,H34))</f>
        <v/>
      </c>
    </row>
    <row r="35" ht="30" customHeight="1">
      <c r="A35" s="50" t="n"/>
      <c r="B35" s="51" t="n"/>
      <c r="C35" s="51" t="n"/>
      <c r="D35" s="51" t="n"/>
      <c r="E35" s="51" t="n"/>
      <c r="F35" s="52" t="n"/>
      <c r="G35" s="51" t="n"/>
      <c r="H35" s="52" t="n"/>
      <c r="I35" s="51" t="n"/>
      <c r="J35" s="51" t="n"/>
      <c r="K35" s="52" t="n"/>
      <c r="L35" s="53" t="str">
        <f>IF(AND(IF(ISNUMBER(F35),AND(F35&gt;=1,F35&lt;=10,F35=INT(F35)),FALSE),IF(ISNUMBER(H35),AND(H35&gt;=1,H35&lt;=10,H35=INT(H35)),FALSE),IF(ISNUMBER(K35),AND(K35&gt;=1,K35&lt;=10,K35=INT(K35)),FALSE)),F35*H35*K35,"")</f>
        <v/>
      </c>
      <c r="M35" s="54" t="str">
        <f>IF(L35="",IF(D35="","","À coter"),IF(OR(F35&gt;=p_gmin,L35&gt;=p_ipr_crit),"Critique",IF(L35&gt;=p_ipr_act,"Élevée",IF(L35&gt;=p_ipr_watch,"Moyenne","Faible"))))</f>
        <v/>
      </c>
      <c r="N35" s="54" t="str">
        <f>IF(OR(M35="",M35="À coter"),"",IF(OR(M35="Critique",M35="Élevée"),"Oui","Non"))</f>
        <v/>
      </c>
      <c r="O35" s="51" t="n"/>
      <c r="P35" s="51" t="n"/>
      <c r="Q35" s="55" t="n"/>
      <c r="R35" s="50" t="n"/>
      <c r="S35" s="55" t="n"/>
      <c r="T35" s="56" t="n"/>
      <c r="U35" s="52" t="n"/>
      <c r="V35" s="52" t="n"/>
      <c r="W35" s="52" t="n"/>
      <c r="X35" s="53" t="str">
        <f>IF(AND(L35&lt;&gt;"",IF(ISNUMBER(U35),AND(U35&gt;=1,U35&lt;=10,U35=INT(U35)),FALSE),IF(ISNUMBER(V35),AND(V35&gt;=1,V35&lt;=10,V35=INT(V35)),FALSE),IF(ISNUMBER(W35),AND(W35&gt;=1,W35&lt;=10,W35=INT(W35)),FALSE)),U35*V35*W35,"")</f>
        <v/>
      </c>
      <c r="Y35" s="54" t="str">
        <f>IF(X35="","",IF(OR(U35&gt;=p_gmin,X35&gt;=p_ipr_crit),"Critique",IF(X35&gt;=p_ipr_act,"Élevée",IF(X35&gt;=p_ipr_watch,"Moyenne","Faible"))))</f>
        <v/>
      </c>
      <c r="Z35" s="57" t="str">
        <f>IF(X35="","",(L35-X35)/L35)</f>
        <v/>
      </c>
      <c r="AA35" s="54" t="str">
        <f>IF(AND(D35="",O35=""),"",IF(O35="",IF(N35="Oui","Action à définir",IF(N35="Non","Sans action","")),IF(R35="Annulée","Annulée",IF(R35="Réalisée",IF(X35="","À réévaluer","Réalisée"),IF(N(Q35)=0,"Échéance manquante",IF(Q35&lt;p_today,"En retard",IF(Q35-p_today&lt;=p_alert,"Échéance proche","Dans les délais")))))))</f>
        <v/>
      </c>
      <c r="AB35" s="58" t="str">
        <f>IF(AND(A35="",B35="",D35="",F35="",H35="",K35="",O35=""),"",IF(D35="","Mode de défaillance manquant",IF(AND(A35&lt;&gt;"",COUNTIF(am_num,A35)&gt;1),"N° en double",IF(F35="","Gravité G manquante",IF(NOT(IF(ISNUMBER(F35),AND(F35&gt;=1,F35&lt;=10,F35=INT(F35)),FALSE)),"G : entier de 1 à 10",IF(H35="","Occurrence O manquante",IF(NOT(IF(ISNUMBER(H35),AND(H35&gt;=1,H35&lt;=10,H35=INT(H35)),FALSE)),"O : entier de 1 à 10",IF(K35="","Détection D manquante",IF(NOT(IF(ISNUMBER(K35),AND(K35&gt;=1,K35&lt;=10,K35=INT(K35)),FALSE)),"D : entier de 1 à 10",IF(G35="","Cause manquante",IF(AND(O35&lt;&gt;"",P35=""),"Responsable manquant",IF(AND(R35&lt;&gt;"",O35=""),"Statut sans action",IF(AND(R35="Réalisée",N(S35)=0),"Date de réalisation manquante",IF(AND(T35&lt;&gt;"",IF(ISNUMBER(T35),T35&lt;0,TRUE)),"Coût invalide",IF(AND(COUNTBLANK(U35:W35)&gt;0,COUNTBLANK(U35:W35)&lt;3),"Cotation après action incomplète",IF(AND(COUNTBLANK(U35:W35)=0,X35=""),"G', O', D' : entiers de 1 à 10",IF(AND(X35&lt;&gt;"",X35&gt;L35),"IPR après action plus élevé","OK")))))))))))))))))</f>
        <v/>
      </c>
      <c r="AC35" s="59" t="str">
        <f>IF(OR(AA35="En retard",AA35="Échéance proche",AA35="Dans les délais",AA35="Échéance manquante",AA35="Action à définir",AA35="À réévaluer"),IF(OR(plan_who="",P35=plan_who),IF(N(Q35)&gt;0,Q35,99999)*1000+ROW(),""),"")</f>
        <v/>
      </c>
      <c r="AD35" s="59" t="str">
        <f>IF(L35="","",L35*1000+1000-ROW())</f>
        <v/>
      </c>
      <c r="AE35" s="59" t="str">
        <f>IF(IF(AA35="En retard",1,IF(AA35="Action à définir",2,IF(AA35="Échéance manquante",3,IF(AA35="Échéance proche",4,IF(AA35="À réévaluer",5,0)))))=0,"",IF(AA35="En retard",1,IF(AA35="Action à définir",2,IF(AA35="Échéance manquante",3,IF(AA35="Échéance proche",4,IF(AA35="À réévaluer",5,0)))))*100000000+IF(N(Q35)&gt;0,Q35,99999)*1000+ROW())</f>
        <v/>
      </c>
      <c r="AF35" s="59" t="str">
        <f>IF(X35&lt;&gt;"",X35,L35)</f>
        <v/>
      </c>
      <c r="AG35" s="59" t="str">
        <f>IF(X35&lt;&gt;"",Y35,IF(L35&lt;&gt;"",M35,""))</f>
        <v/>
      </c>
      <c r="AH35" s="59" t="str">
        <f>IF(L35="","",IF(X35&lt;&gt;"",U35,F35))</f>
        <v/>
      </c>
      <c r="AI35" s="59" t="str">
        <f>IF(L35="","",IF(X35&lt;&gt;"",V35,H35))</f>
        <v/>
      </c>
    </row>
    <row r="36" ht="30" customHeight="1">
      <c r="A36" s="50" t="n"/>
      <c r="B36" s="51" t="n"/>
      <c r="C36" s="51" t="n"/>
      <c r="D36" s="51" t="n"/>
      <c r="E36" s="51" t="n"/>
      <c r="F36" s="52" t="n"/>
      <c r="G36" s="51" t="n"/>
      <c r="H36" s="52" t="n"/>
      <c r="I36" s="51" t="n"/>
      <c r="J36" s="51" t="n"/>
      <c r="K36" s="52" t="n"/>
      <c r="L36" s="53" t="str">
        <f>IF(AND(IF(ISNUMBER(F36),AND(F36&gt;=1,F36&lt;=10,F36=INT(F36)),FALSE),IF(ISNUMBER(H36),AND(H36&gt;=1,H36&lt;=10,H36=INT(H36)),FALSE),IF(ISNUMBER(K36),AND(K36&gt;=1,K36&lt;=10,K36=INT(K36)),FALSE)),F36*H36*K36,"")</f>
        <v/>
      </c>
      <c r="M36" s="54" t="str">
        <f>IF(L36="",IF(D36="","","À coter"),IF(OR(F36&gt;=p_gmin,L36&gt;=p_ipr_crit),"Critique",IF(L36&gt;=p_ipr_act,"Élevée",IF(L36&gt;=p_ipr_watch,"Moyenne","Faible"))))</f>
        <v/>
      </c>
      <c r="N36" s="54" t="str">
        <f>IF(OR(M36="",M36="À coter"),"",IF(OR(M36="Critique",M36="Élevée"),"Oui","Non"))</f>
        <v/>
      </c>
      <c r="O36" s="51" t="n"/>
      <c r="P36" s="51" t="n"/>
      <c r="Q36" s="55" t="n"/>
      <c r="R36" s="50" t="n"/>
      <c r="S36" s="55" t="n"/>
      <c r="T36" s="56" t="n"/>
      <c r="U36" s="52" t="n"/>
      <c r="V36" s="52" t="n"/>
      <c r="W36" s="52" t="n"/>
      <c r="X36" s="53" t="str">
        <f>IF(AND(L36&lt;&gt;"",IF(ISNUMBER(U36),AND(U36&gt;=1,U36&lt;=10,U36=INT(U36)),FALSE),IF(ISNUMBER(V36),AND(V36&gt;=1,V36&lt;=10,V36=INT(V36)),FALSE),IF(ISNUMBER(W36),AND(W36&gt;=1,W36&lt;=10,W36=INT(W36)),FALSE)),U36*V36*W36,"")</f>
        <v/>
      </c>
      <c r="Y36" s="54" t="str">
        <f>IF(X36="","",IF(OR(U36&gt;=p_gmin,X36&gt;=p_ipr_crit),"Critique",IF(X36&gt;=p_ipr_act,"Élevée",IF(X36&gt;=p_ipr_watch,"Moyenne","Faible"))))</f>
        <v/>
      </c>
      <c r="Z36" s="57" t="str">
        <f>IF(X36="","",(L36-X36)/L36)</f>
        <v/>
      </c>
      <c r="AA36" s="54" t="str">
        <f>IF(AND(D36="",O36=""),"",IF(O36="",IF(N36="Oui","Action à définir",IF(N36="Non","Sans action","")),IF(R36="Annulée","Annulée",IF(R36="Réalisée",IF(X36="","À réévaluer","Réalisée"),IF(N(Q36)=0,"Échéance manquante",IF(Q36&lt;p_today,"En retard",IF(Q36-p_today&lt;=p_alert,"Échéance proche","Dans les délais")))))))</f>
        <v/>
      </c>
      <c r="AB36" s="58" t="str">
        <f>IF(AND(A36="",B36="",D36="",F36="",H36="",K36="",O36=""),"",IF(D36="","Mode de défaillance manquant",IF(AND(A36&lt;&gt;"",COUNTIF(am_num,A36)&gt;1),"N° en double",IF(F36="","Gravité G manquante",IF(NOT(IF(ISNUMBER(F36),AND(F36&gt;=1,F36&lt;=10,F36=INT(F36)),FALSE)),"G : entier de 1 à 10",IF(H36="","Occurrence O manquante",IF(NOT(IF(ISNUMBER(H36),AND(H36&gt;=1,H36&lt;=10,H36=INT(H36)),FALSE)),"O : entier de 1 à 10",IF(K36="","Détection D manquante",IF(NOT(IF(ISNUMBER(K36),AND(K36&gt;=1,K36&lt;=10,K36=INT(K36)),FALSE)),"D : entier de 1 à 10",IF(G36="","Cause manquante",IF(AND(O36&lt;&gt;"",P36=""),"Responsable manquant",IF(AND(R36&lt;&gt;"",O36=""),"Statut sans action",IF(AND(R36="Réalisée",N(S36)=0),"Date de réalisation manquante",IF(AND(T36&lt;&gt;"",IF(ISNUMBER(T36),T36&lt;0,TRUE)),"Coût invalide",IF(AND(COUNTBLANK(U36:W36)&gt;0,COUNTBLANK(U36:W36)&lt;3),"Cotation après action incomplète",IF(AND(COUNTBLANK(U36:W36)=0,X36=""),"G', O', D' : entiers de 1 à 10",IF(AND(X36&lt;&gt;"",X36&gt;L36),"IPR après action plus élevé","OK")))))))))))))))))</f>
        <v/>
      </c>
      <c r="AC36" s="59" t="str">
        <f>IF(OR(AA36="En retard",AA36="Échéance proche",AA36="Dans les délais",AA36="Échéance manquante",AA36="Action à définir",AA36="À réévaluer"),IF(OR(plan_who="",P36=plan_who),IF(N(Q36)&gt;0,Q36,99999)*1000+ROW(),""),"")</f>
        <v/>
      </c>
      <c r="AD36" s="59" t="str">
        <f>IF(L36="","",L36*1000+1000-ROW())</f>
        <v/>
      </c>
      <c r="AE36" s="59" t="str">
        <f>IF(IF(AA36="En retard",1,IF(AA36="Action à définir",2,IF(AA36="Échéance manquante",3,IF(AA36="Échéance proche",4,IF(AA36="À réévaluer",5,0)))))=0,"",IF(AA36="En retard",1,IF(AA36="Action à définir",2,IF(AA36="Échéance manquante",3,IF(AA36="Échéance proche",4,IF(AA36="À réévaluer",5,0)))))*100000000+IF(N(Q36)&gt;0,Q36,99999)*1000+ROW())</f>
        <v/>
      </c>
      <c r="AF36" s="59" t="str">
        <f>IF(X36&lt;&gt;"",X36,L36)</f>
        <v/>
      </c>
      <c r="AG36" s="59" t="str">
        <f>IF(X36&lt;&gt;"",Y36,IF(L36&lt;&gt;"",M36,""))</f>
        <v/>
      </c>
      <c r="AH36" s="59" t="str">
        <f>IF(L36="","",IF(X36&lt;&gt;"",U36,F36))</f>
        <v/>
      </c>
      <c r="AI36" s="59" t="str">
        <f>IF(L36="","",IF(X36&lt;&gt;"",V36,H36))</f>
        <v/>
      </c>
    </row>
    <row r="37" ht="30" customHeight="1">
      <c r="A37" s="50" t="n"/>
      <c r="B37" s="51" t="n"/>
      <c r="C37" s="51" t="n"/>
      <c r="D37" s="51" t="n"/>
      <c r="E37" s="51" t="n"/>
      <c r="F37" s="52" t="n"/>
      <c r="G37" s="51" t="n"/>
      <c r="H37" s="52" t="n"/>
      <c r="I37" s="51" t="n"/>
      <c r="J37" s="51" t="n"/>
      <c r="K37" s="52" t="n"/>
      <c r="L37" s="53" t="str">
        <f>IF(AND(IF(ISNUMBER(F37),AND(F37&gt;=1,F37&lt;=10,F37=INT(F37)),FALSE),IF(ISNUMBER(H37),AND(H37&gt;=1,H37&lt;=10,H37=INT(H37)),FALSE),IF(ISNUMBER(K37),AND(K37&gt;=1,K37&lt;=10,K37=INT(K37)),FALSE)),F37*H37*K37,"")</f>
        <v/>
      </c>
      <c r="M37" s="54" t="str">
        <f>IF(L37="",IF(D37="","","À coter"),IF(OR(F37&gt;=p_gmin,L37&gt;=p_ipr_crit),"Critique",IF(L37&gt;=p_ipr_act,"Élevée",IF(L37&gt;=p_ipr_watch,"Moyenne","Faible"))))</f>
        <v/>
      </c>
      <c r="N37" s="54" t="str">
        <f>IF(OR(M37="",M37="À coter"),"",IF(OR(M37="Critique",M37="Élevée"),"Oui","Non"))</f>
        <v/>
      </c>
      <c r="O37" s="51" t="n"/>
      <c r="P37" s="51" t="n"/>
      <c r="Q37" s="55" t="n"/>
      <c r="R37" s="50" t="n"/>
      <c r="S37" s="55" t="n"/>
      <c r="T37" s="56" t="n"/>
      <c r="U37" s="52" t="n"/>
      <c r="V37" s="52" t="n"/>
      <c r="W37" s="52" t="n"/>
      <c r="X37" s="53" t="str">
        <f>IF(AND(L37&lt;&gt;"",IF(ISNUMBER(U37),AND(U37&gt;=1,U37&lt;=10,U37=INT(U37)),FALSE),IF(ISNUMBER(V37),AND(V37&gt;=1,V37&lt;=10,V37=INT(V37)),FALSE),IF(ISNUMBER(W37),AND(W37&gt;=1,W37&lt;=10,W37=INT(W37)),FALSE)),U37*V37*W37,"")</f>
        <v/>
      </c>
      <c r="Y37" s="54" t="str">
        <f>IF(X37="","",IF(OR(U37&gt;=p_gmin,X37&gt;=p_ipr_crit),"Critique",IF(X37&gt;=p_ipr_act,"Élevée",IF(X37&gt;=p_ipr_watch,"Moyenne","Faible"))))</f>
        <v/>
      </c>
      <c r="Z37" s="57" t="str">
        <f>IF(X37="","",(L37-X37)/L37)</f>
        <v/>
      </c>
      <c r="AA37" s="54" t="str">
        <f>IF(AND(D37="",O37=""),"",IF(O37="",IF(N37="Oui","Action à définir",IF(N37="Non","Sans action","")),IF(R37="Annulée","Annulée",IF(R37="Réalisée",IF(X37="","À réévaluer","Réalisée"),IF(N(Q37)=0,"Échéance manquante",IF(Q37&lt;p_today,"En retard",IF(Q37-p_today&lt;=p_alert,"Échéance proche","Dans les délais")))))))</f>
        <v/>
      </c>
      <c r="AB37" s="58" t="str">
        <f>IF(AND(A37="",B37="",D37="",F37="",H37="",K37="",O37=""),"",IF(D37="","Mode de défaillance manquant",IF(AND(A37&lt;&gt;"",COUNTIF(am_num,A37)&gt;1),"N° en double",IF(F37="","Gravité G manquante",IF(NOT(IF(ISNUMBER(F37),AND(F37&gt;=1,F37&lt;=10,F37=INT(F37)),FALSE)),"G : entier de 1 à 10",IF(H37="","Occurrence O manquante",IF(NOT(IF(ISNUMBER(H37),AND(H37&gt;=1,H37&lt;=10,H37=INT(H37)),FALSE)),"O : entier de 1 à 10",IF(K37="","Détection D manquante",IF(NOT(IF(ISNUMBER(K37),AND(K37&gt;=1,K37&lt;=10,K37=INT(K37)),FALSE)),"D : entier de 1 à 10",IF(G37="","Cause manquante",IF(AND(O37&lt;&gt;"",P37=""),"Responsable manquant",IF(AND(R37&lt;&gt;"",O37=""),"Statut sans action",IF(AND(R37="Réalisée",N(S37)=0),"Date de réalisation manquante",IF(AND(T37&lt;&gt;"",IF(ISNUMBER(T37),T37&lt;0,TRUE)),"Coût invalide",IF(AND(COUNTBLANK(U37:W37)&gt;0,COUNTBLANK(U37:W37)&lt;3),"Cotation après action incomplète",IF(AND(COUNTBLANK(U37:W37)=0,X37=""),"G', O', D' : entiers de 1 à 10",IF(AND(X37&lt;&gt;"",X37&gt;L37),"IPR après action plus élevé","OK")))))))))))))))))</f>
        <v/>
      </c>
      <c r="AC37" s="59" t="str">
        <f>IF(OR(AA37="En retard",AA37="Échéance proche",AA37="Dans les délais",AA37="Échéance manquante",AA37="Action à définir",AA37="À réévaluer"),IF(OR(plan_who="",P37=plan_who),IF(N(Q37)&gt;0,Q37,99999)*1000+ROW(),""),"")</f>
        <v/>
      </c>
      <c r="AD37" s="59" t="str">
        <f>IF(L37="","",L37*1000+1000-ROW())</f>
        <v/>
      </c>
      <c r="AE37" s="59" t="str">
        <f>IF(IF(AA37="En retard",1,IF(AA37="Action à définir",2,IF(AA37="Échéance manquante",3,IF(AA37="Échéance proche",4,IF(AA37="À réévaluer",5,0)))))=0,"",IF(AA37="En retard",1,IF(AA37="Action à définir",2,IF(AA37="Échéance manquante",3,IF(AA37="Échéance proche",4,IF(AA37="À réévaluer",5,0)))))*100000000+IF(N(Q37)&gt;0,Q37,99999)*1000+ROW())</f>
        <v/>
      </c>
      <c r="AF37" s="59" t="str">
        <f>IF(X37&lt;&gt;"",X37,L37)</f>
        <v/>
      </c>
      <c r="AG37" s="59" t="str">
        <f>IF(X37&lt;&gt;"",Y37,IF(L37&lt;&gt;"",M37,""))</f>
        <v/>
      </c>
      <c r="AH37" s="59" t="str">
        <f>IF(L37="","",IF(X37&lt;&gt;"",U37,F37))</f>
        <v/>
      </c>
      <c r="AI37" s="59" t="str">
        <f>IF(L37="","",IF(X37&lt;&gt;"",V37,H37))</f>
        <v/>
      </c>
    </row>
    <row r="38" ht="30" customHeight="1">
      <c r="A38" s="50" t="n"/>
      <c r="B38" s="51" t="n"/>
      <c r="C38" s="51" t="n"/>
      <c r="D38" s="51" t="n"/>
      <c r="E38" s="51" t="n"/>
      <c r="F38" s="52" t="n"/>
      <c r="G38" s="51" t="n"/>
      <c r="H38" s="52" t="n"/>
      <c r="I38" s="51" t="n"/>
      <c r="J38" s="51" t="n"/>
      <c r="K38" s="52" t="n"/>
      <c r="L38" s="53" t="str">
        <f>IF(AND(IF(ISNUMBER(F38),AND(F38&gt;=1,F38&lt;=10,F38=INT(F38)),FALSE),IF(ISNUMBER(H38),AND(H38&gt;=1,H38&lt;=10,H38=INT(H38)),FALSE),IF(ISNUMBER(K38),AND(K38&gt;=1,K38&lt;=10,K38=INT(K38)),FALSE)),F38*H38*K38,"")</f>
        <v/>
      </c>
      <c r="M38" s="54" t="str">
        <f>IF(L38="",IF(D38="","","À coter"),IF(OR(F38&gt;=p_gmin,L38&gt;=p_ipr_crit),"Critique",IF(L38&gt;=p_ipr_act,"Élevée",IF(L38&gt;=p_ipr_watch,"Moyenne","Faible"))))</f>
        <v/>
      </c>
      <c r="N38" s="54" t="str">
        <f>IF(OR(M38="",M38="À coter"),"",IF(OR(M38="Critique",M38="Élevée"),"Oui","Non"))</f>
        <v/>
      </c>
      <c r="O38" s="51" t="n"/>
      <c r="P38" s="51" t="n"/>
      <c r="Q38" s="55" t="n"/>
      <c r="R38" s="50" t="n"/>
      <c r="S38" s="55" t="n"/>
      <c r="T38" s="56" t="n"/>
      <c r="U38" s="52" t="n"/>
      <c r="V38" s="52" t="n"/>
      <c r="W38" s="52" t="n"/>
      <c r="X38" s="53" t="str">
        <f>IF(AND(L38&lt;&gt;"",IF(ISNUMBER(U38),AND(U38&gt;=1,U38&lt;=10,U38=INT(U38)),FALSE),IF(ISNUMBER(V38),AND(V38&gt;=1,V38&lt;=10,V38=INT(V38)),FALSE),IF(ISNUMBER(W38),AND(W38&gt;=1,W38&lt;=10,W38=INT(W38)),FALSE)),U38*V38*W38,"")</f>
        <v/>
      </c>
      <c r="Y38" s="54" t="str">
        <f>IF(X38="","",IF(OR(U38&gt;=p_gmin,X38&gt;=p_ipr_crit),"Critique",IF(X38&gt;=p_ipr_act,"Élevée",IF(X38&gt;=p_ipr_watch,"Moyenne","Faible"))))</f>
        <v/>
      </c>
      <c r="Z38" s="57" t="str">
        <f>IF(X38="","",(L38-X38)/L38)</f>
        <v/>
      </c>
      <c r="AA38" s="54" t="str">
        <f>IF(AND(D38="",O38=""),"",IF(O38="",IF(N38="Oui","Action à définir",IF(N38="Non","Sans action","")),IF(R38="Annulée","Annulée",IF(R38="Réalisée",IF(X38="","À réévaluer","Réalisée"),IF(N(Q38)=0,"Échéance manquante",IF(Q38&lt;p_today,"En retard",IF(Q38-p_today&lt;=p_alert,"Échéance proche","Dans les délais")))))))</f>
        <v/>
      </c>
      <c r="AB38" s="58" t="str">
        <f>IF(AND(A38="",B38="",D38="",F38="",H38="",K38="",O38=""),"",IF(D38="","Mode de défaillance manquant",IF(AND(A38&lt;&gt;"",COUNTIF(am_num,A38)&gt;1),"N° en double",IF(F38="","Gravité G manquante",IF(NOT(IF(ISNUMBER(F38),AND(F38&gt;=1,F38&lt;=10,F38=INT(F38)),FALSE)),"G : entier de 1 à 10",IF(H38="","Occurrence O manquante",IF(NOT(IF(ISNUMBER(H38),AND(H38&gt;=1,H38&lt;=10,H38=INT(H38)),FALSE)),"O : entier de 1 à 10",IF(K38="","Détection D manquante",IF(NOT(IF(ISNUMBER(K38),AND(K38&gt;=1,K38&lt;=10,K38=INT(K38)),FALSE)),"D : entier de 1 à 10",IF(G38="","Cause manquante",IF(AND(O38&lt;&gt;"",P38=""),"Responsable manquant",IF(AND(R38&lt;&gt;"",O38=""),"Statut sans action",IF(AND(R38="Réalisée",N(S38)=0),"Date de réalisation manquante",IF(AND(T38&lt;&gt;"",IF(ISNUMBER(T38),T38&lt;0,TRUE)),"Coût invalide",IF(AND(COUNTBLANK(U38:W38)&gt;0,COUNTBLANK(U38:W38)&lt;3),"Cotation après action incomplète",IF(AND(COUNTBLANK(U38:W38)=0,X38=""),"G', O', D' : entiers de 1 à 10",IF(AND(X38&lt;&gt;"",X38&gt;L38),"IPR après action plus élevé","OK")))))))))))))))))</f>
        <v/>
      </c>
      <c r="AC38" s="59" t="str">
        <f>IF(OR(AA38="En retard",AA38="Échéance proche",AA38="Dans les délais",AA38="Échéance manquante",AA38="Action à définir",AA38="À réévaluer"),IF(OR(plan_who="",P38=plan_who),IF(N(Q38)&gt;0,Q38,99999)*1000+ROW(),""),"")</f>
        <v/>
      </c>
      <c r="AD38" s="59" t="str">
        <f>IF(L38="","",L38*1000+1000-ROW())</f>
        <v/>
      </c>
      <c r="AE38" s="59" t="str">
        <f>IF(IF(AA38="En retard",1,IF(AA38="Action à définir",2,IF(AA38="Échéance manquante",3,IF(AA38="Échéance proche",4,IF(AA38="À réévaluer",5,0)))))=0,"",IF(AA38="En retard",1,IF(AA38="Action à définir",2,IF(AA38="Échéance manquante",3,IF(AA38="Échéance proche",4,IF(AA38="À réévaluer",5,0)))))*100000000+IF(N(Q38)&gt;0,Q38,99999)*1000+ROW())</f>
        <v/>
      </c>
      <c r="AF38" s="59" t="str">
        <f>IF(X38&lt;&gt;"",X38,L38)</f>
        <v/>
      </c>
      <c r="AG38" s="59" t="str">
        <f>IF(X38&lt;&gt;"",Y38,IF(L38&lt;&gt;"",M38,""))</f>
        <v/>
      </c>
      <c r="AH38" s="59" t="str">
        <f>IF(L38="","",IF(X38&lt;&gt;"",U38,F38))</f>
        <v/>
      </c>
      <c r="AI38" s="59" t="str">
        <f>IF(L38="","",IF(X38&lt;&gt;"",V38,H38))</f>
        <v/>
      </c>
    </row>
    <row r="39" ht="30" customHeight="1">
      <c r="A39" s="50" t="n"/>
      <c r="B39" s="51" t="n"/>
      <c r="C39" s="51" t="n"/>
      <c r="D39" s="51" t="n"/>
      <c r="E39" s="51" t="n"/>
      <c r="F39" s="52" t="n"/>
      <c r="G39" s="51" t="n"/>
      <c r="H39" s="52" t="n"/>
      <c r="I39" s="51" t="n"/>
      <c r="J39" s="51" t="n"/>
      <c r="K39" s="52" t="n"/>
      <c r="L39" s="53" t="str">
        <f>IF(AND(IF(ISNUMBER(F39),AND(F39&gt;=1,F39&lt;=10,F39=INT(F39)),FALSE),IF(ISNUMBER(H39),AND(H39&gt;=1,H39&lt;=10,H39=INT(H39)),FALSE),IF(ISNUMBER(K39),AND(K39&gt;=1,K39&lt;=10,K39=INT(K39)),FALSE)),F39*H39*K39,"")</f>
        <v/>
      </c>
      <c r="M39" s="54" t="str">
        <f>IF(L39="",IF(D39="","","À coter"),IF(OR(F39&gt;=p_gmin,L39&gt;=p_ipr_crit),"Critique",IF(L39&gt;=p_ipr_act,"Élevée",IF(L39&gt;=p_ipr_watch,"Moyenne","Faible"))))</f>
        <v/>
      </c>
      <c r="N39" s="54" t="str">
        <f>IF(OR(M39="",M39="À coter"),"",IF(OR(M39="Critique",M39="Élevée"),"Oui","Non"))</f>
        <v/>
      </c>
      <c r="O39" s="51" t="n"/>
      <c r="P39" s="51" t="n"/>
      <c r="Q39" s="55" t="n"/>
      <c r="R39" s="50" t="n"/>
      <c r="S39" s="55" t="n"/>
      <c r="T39" s="56" t="n"/>
      <c r="U39" s="52" t="n"/>
      <c r="V39" s="52" t="n"/>
      <c r="W39" s="52" t="n"/>
      <c r="X39" s="53" t="str">
        <f>IF(AND(L39&lt;&gt;"",IF(ISNUMBER(U39),AND(U39&gt;=1,U39&lt;=10,U39=INT(U39)),FALSE),IF(ISNUMBER(V39),AND(V39&gt;=1,V39&lt;=10,V39=INT(V39)),FALSE),IF(ISNUMBER(W39),AND(W39&gt;=1,W39&lt;=10,W39=INT(W39)),FALSE)),U39*V39*W39,"")</f>
        <v/>
      </c>
      <c r="Y39" s="54" t="str">
        <f>IF(X39="","",IF(OR(U39&gt;=p_gmin,X39&gt;=p_ipr_crit),"Critique",IF(X39&gt;=p_ipr_act,"Élevée",IF(X39&gt;=p_ipr_watch,"Moyenne","Faible"))))</f>
        <v/>
      </c>
      <c r="Z39" s="57" t="str">
        <f>IF(X39="","",(L39-X39)/L39)</f>
        <v/>
      </c>
      <c r="AA39" s="54" t="str">
        <f>IF(AND(D39="",O39=""),"",IF(O39="",IF(N39="Oui","Action à définir",IF(N39="Non","Sans action","")),IF(R39="Annulée","Annulée",IF(R39="Réalisée",IF(X39="","À réévaluer","Réalisée"),IF(N(Q39)=0,"Échéance manquante",IF(Q39&lt;p_today,"En retard",IF(Q39-p_today&lt;=p_alert,"Échéance proche","Dans les délais")))))))</f>
        <v/>
      </c>
      <c r="AB39" s="58" t="str">
        <f>IF(AND(A39="",B39="",D39="",F39="",H39="",K39="",O39=""),"",IF(D39="","Mode de défaillance manquant",IF(AND(A39&lt;&gt;"",COUNTIF(am_num,A39)&gt;1),"N° en double",IF(F39="","Gravité G manquante",IF(NOT(IF(ISNUMBER(F39),AND(F39&gt;=1,F39&lt;=10,F39=INT(F39)),FALSE)),"G : entier de 1 à 10",IF(H39="","Occurrence O manquante",IF(NOT(IF(ISNUMBER(H39),AND(H39&gt;=1,H39&lt;=10,H39=INT(H39)),FALSE)),"O : entier de 1 à 10",IF(K39="","Détection D manquante",IF(NOT(IF(ISNUMBER(K39),AND(K39&gt;=1,K39&lt;=10,K39=INT(K39)),FALSE)),"D : entier de 1 à 10",IF(G39="","Cause manquante",IF(AND(O39&lt;&gt;"",P39=""),"Responsable manquant",IF(AND(R39&lt;&gt;"",O39=""),"Statut sans action",IF(AND(R39="Réalisée",N(S39)=0),"Date de réalisation manquante",IF(AND(T39&lt;&gt;"",IF(ISNUMBER(T39),T39&lt;0,TRUE)),"Coût invalide",IF(AND(COUNTBLANK(U39:W39)&gt;0,COUNTBLANK(U39:W39)&lt;3),"Cotation après action incomplète",IF(AND(COUNTBLANK(U39:W39)=0,X39=""),"G', O', D' : entiers de 1 à 10",IF(AND(X39&lt;&gt;"",X39&gt;L39),"IPR après action plus élevé","OK")))))))))))))))))</f>
        <v/>
      </c>
      <c r="AC39" s="59" t="str">
        <f>IF(OR(AA39="En retard",AA39="Échéance proche",AA39="Dans les délais",AA39="Échéance manquante",AA39="Action à définir",AA39="À réévaluer"),IF(OR(plan_who="",P39=plan_who),IF(N(Q39)&gt;0,Q39,99999)*1000+ROW(),""),"")</f>
        <v/>
      </c>
      <c r="AD39" s="59" t="str">
        <f>IF(L39="","",L39*1000+1000-ROW())</f>
        <v/>
      </c>
      <c r="AE39" s="59" t="str">
        <f>IF(IF(AA39="En retard",1,IF(AA39="Action à définir",2,IF(AA39="Échéance manquante",3,IF(AA39="Échéance proche",4,IF(AA39="À réévaluer",5,0)))))=0,"",IF(AA39="En retard",1,IF(AA39="Action à définir",2,IF(AA39="Échéance manquante",3,IF(AA39="Échéance proche",4,IF(AA39="À réévaluer",5,0)))))*100000000+IF(N(Q39)&gt;0,Q39,99999)*1000+ROW())</f>
        <v/>
      </c>
      <c r="AF39" s="59" t="str">
        <f>IF(X39&lt;&gt;"",X39,L39)</f>
        <v/>
      </c>
      <c r="AG39" s="59" t="str">
        <f>IF(X39&lt;&gt;"",Y39,IF(L39&lt;&gt;"",M39,""))</f>
        <v/>
      </c>
      <c r="AH39" s="59" t="str">
        <f>IF(L39="","",IF(X39&lt;&gt;"",U39,F39))</f>
        <v/>
      </c>
      <c r="AI39" s="59" t="str">
        <f>IF(L39="","",IF(X39&lt;&gt;"",V39,H39))</f>
        <v/>
      </c>
    </row>
    <row r="40" ht="30" customHeight="1">
      <c r="A40" s="50" t="n"/>
      <c r="B40" s="51" t="n"/>
      <c r="C40" s="51" t="n"/>
      <c r="D40" s="51" t="n"/>
      <c r="E40" s="51" t="n"/>
      <c r="F40" s="52" t="n"/>
      <c r="G40" s="51" t="n"/>
      <c r="H40" s="52" t="n"/>
      <c r="I40" s="51" t="n"/>
      <c r="J40" s="51" t="n"/>
      <c r="K40" s="52" t="n"/>
      <c r="L40" s="53" t="str">
        <f>IF(AND(IF(ISNUMBER(F40),AND(F40&gt;=1,F40&lt;=10,F40=INT(F40)),FALSE),IF(ISNUMBER(H40),AND(H40&gt;=1,H40&lt;=10,H40=INT(H40)),FALSE),IF(ISNUMBER(K40),AND(K40&gt;=1,K40&lt;=10,K40=INT(K40)),FALSE)),F40*H40*K40,"")</f>
        <v/>
      </c>
      <c r="M40" s="54" t="str">
        <f>IF(L40="",IF(D40="","","À coter"),IF(OR(F40&gt;=p_gmin,L40&gt;=p_ipr_crit),"Critique",IF(L40&gt;=p_ipr_act,"Élevée",IF(L40&gt;=p_ipr_watch,"Moyenne","Faible"))))</f>
        <v/>
      </c>
      <c r="N40" s="54" t="str">
        <f>IF(OR(M40="",M40="À coter"),"",IF(OR(M40="Critique",M40="Élevée"),"Oui","Non"))</f>
        <v/>
      </c>
      <c r="O40" s="51" t="n"/>
      <c r="P40" s="51" t="n"/>
      <c r="Q40" s="55" t="n"/>
      <c r="R40" s="50" t="n"/>
      <c r="S40" s="55" t="n"/>
      <c r="T40" s="56" t="n"/>
      <c r="U40" s="52" t="n"/>
      <c r="V40" s="52" t="n"/>
      <c r="W40" s="52" t="n"/>
      <c r="X40" s="53" t="str">
        <f>IF(AND(L40&lt;&gt;"",IF(ISNUMBER(U40),AND(U40&gt;=1,U40&lt;=10,U40=INT(U40)),FALSE),IF(ISNUMBER(V40),AND(V40&gt;=1,V40&lt;=10,V40=INT(V40)),FALSE),IF(ISNUMBER(W40),AND(W40&gt;=1,W40&lt;=10,W40=INT(W40)),FALSE)),U40*V40*W40,"")</f>
        <v/>
      </c>
      <c r="Y40" s="54" t="str">
        <f>IF(X40="","",IF(OR(U40&gt;=p_gmin,X40&gt;=p_ipr_crit),"Critique",IF(X40&gt;=p_ipr_act,"Élevée",IF(X40&gt;=p_ipr_watch,"Moyenne","Faible"))))</f>
        <v/>
      </c>
      <c r="Z40" s="57" t="str">
        <f>IF(X40="","",(L40-X40)/L40)</f>
        <v/>
      </c>
      <c r="AA40" s="54" t="str">
        <f>IF(AND(D40="",O40=""),"",IF(O40="",IF(N40="Oui","Action à définir",IF(N40="Non","Sans action","")),IF(R40="Annulée","Annulée",IF(R40="Réalisée",IF(X40="","À réévaluer","Réalisée"),IF(N(Q40)=0,"Échéance manquante",IF(Q40&lt;p_today,"En retard",IF(Q40-p_today&lt;=p_alert,"Échéance proche","Dans les délais")))))))</f>
        <v/>
      </c>
      <c r="AB40" s="58" t="str">
        <f>IF(AND(A40="",B40="",D40="",F40="",H40="",K40="",O40=""),"",IF(D40="","Mode de défaillance manquant",IF(AND(A40&lt;&gt;"",COUNTIF(am_num,A40)&gt;1),"N° en double",IF(F40="","Gravité G manquante",IF(NOT(IF(ISNUMBER(F40),AND(F40&gt;=1,F40&lt;=10,F40=INT(F40)),FALSE)),"G : entier de 1 à 10",IF(H40="","Occurrence O manquante",IF(NOT(IF(ISNUMBER(H40),AND(H40&gt;=1,H40&lt;=10,H40=INT(H40)),FALSE)),"O : entier de 1 à 10",IF(K40="","Détection D manquante",IF(NOT(IF(ISNUMBER(K40),AND(K40&gt;=1,K40&lt;=10,K40=INT(K40)),FALSE)),"D : entier de 1 à 10",IF(G40="","Cause manquante",IF(AND(O40&lt;&gt;"",P40=""),"Responsable manquant",IF(AND(R40&lt;&gt;"",O40=""),"Statut sans action",IF(AND(R40="Réalisée",N(S40)=0),"Date de réalisation manquante",IF(AND(T40&lt;&gt;"",IF(ISNUMBER(T40),T40&lt;0,TRUE)),"Coût invalide",IF(AND(COUNTBLANK(U40:W40)&gt;0,COUNTBLANK(U40:W40)&lt;3),"Cotation après action incomplète",IF(AND(COUNTBLANK(U40:W40)=0,X40=""),"G', O', D' : entiers de 1 à 10",IF(AND(X40&lt;&gt;"",X40&gt;L40),"IPR après action plus élevé","OK")))))))))))))))))</f>
        <v/>
      </c>
      <c r="AC40" s="59" t="str">
        <f>IF(OR(AA40="En retard",AA40="Échéance proche",AA40="Dans les délais",AA40="Échéance manquante",AA40="Action à définir",AA40="À réévaluer"),IF(OR(plan_who="",P40=plan_who),IF(N(Q40)&gt;0,Q40,99999)*1000+ROW(),""),"")</f>
        <v/>
      </c>
      <c r="AD40" s="59" t="str">
        <f>IF(L40="","",L40*1000+1000-ROW())</f>
        <v/>
      </c>
      <c r="AE40" s="59" t="str">
        <f>IF(IF(AA40="En retard",1,IF(AA40="Action à définir",2,IF(AA40="Échéance manquante",3,IF(AA40="Échéance proche",4,IF(AA40="À réévaluer",5,0)))))=0,"",IF(AA40="En retard",1,IF(AA40="Action à définir",2,IF(AA40="Échéance manquante",3,IF(AA40="Échéance proche",4,IF(AA40="À réévaluer",5,0)))))*100000000+IF(N(Q40)&gt;0,Q40,99999)*1000+ROW())</f>
        <v/>
      </c>
      <c r="AF40" s="59" t="str">
        <f>IF(X40&lt;&gt;"",X40,L40)</f>
        <v/>
      </c>
      <c r="AG40" s="59" t="str">
        <f>IF(X40&lt;&gt;"",Y40,IF(L40&lt;&gt;"",M40,""))</f>
        <v/>
      </c>
      <c r="AH40" s="59" t="str">
        <f>IF(L40="","",IF(X40&lt;&gt;"",U40,F40))</f>
        <v/>
      </c>
      <c r="AI40" s="59" t="str">
        <f>IF(L40="","",IF(X40&lt;&gt;"",V40,H40))</f>
        <v/>
      </c>
    </row>
    <row r="41" ht="30" customHeight="1">
      <c r="A41" s="50" t="n"/>
      <c r="B41" s="51" t="n"/>
      <c r="C41" s="51" t="n"/>
      <c r="D41" s="51" t="n"/>
      <c r="E41" s="51" t="n"/>
      <c r="F41" s="52" t="n"/>
      <c r="G41" s="51" t="n"/>
      <c r="H41" s="52" t="n"/>
      <c r="I41" s="51" t="n"/>
      <c r="J41" s="51" t="n"/>
      <c r="K41" s="52" t="n"/>
      <c r="L41" s="53" t="str">
        <f>IF(AND(IF(ISNUMBER(F41),AND(F41&gt;=1,F41&lt;=10,F41=INT(F41)),FALSE),IF(ISNUMBER(H41),AND(H41&gt;=1,H41&lt;=10,H41=INT(H41)),FALSE),IF(ISNUMBER(K41),AND(K41&gt;=1,K41&lt;=10,K41=INT(K41)),FALSE)),F41*H41*K41,"")</f>
        <v/>
      </c>
      <c r="M41" s="54" t="str">
        <f>IF(L41="",IF(D41="","","À coter"),IF(OR(F41&gt;=p_gmin,L41&gt;=p_ipr_crit),"Critique",IF(L41&gt;=p_ipr_act,"Élevée",IF(L41&gt;=p_ipr_watch,"Moyenne","Faible"))))</f>
        <v/>
      </c>
      <c r="N41" s="54" t="str">
        <f>IF(OR(M41="",M41="À coter"),"",IF(OR(M41="Critique",M41="Élevée"),"Oui","Non"))</f>
        <v/>
      </c>
      <c r="O41" s="51" t="n"/>
      <c r="P41" s="51" t="n"/>
      <c r="Q41" s="55" t="n"/>
      <c r="R41" s="50" t="n"/>
      <c r="S41" s="55" t="n"/>
      <c r="T41" s="56" t="n"/>
      <c r="U41" s="52" t="n"/>
      <c r="V41" s="52" t="n"/>
      <c r="W41" s="52" t="n"/>
      <c r="X41" s="53" t="str">
        <f>IF(AND(L41&lt;&gt;"",IF(ISNUMBER(U41),AND(U41&gt;=1,U41&lt;=10,U41=INT(U41)),FALSE),IF(ISNUMBER(V41),AND(V41&gt;=1,V41&lt;=10,V41=INT(V41)),FALSE),IF(ISNUMBER(W41),AND(W41&gt;=1,W41&lt;=10,W41=INT(W41)),FALSE)),U41*V41*W41,"")</f>
        <v/>
      </c>
      <c r="Y41" s="54" t="str">
        <f>IF(X41="","",IF(OR(U41&gt;=p_gmin,X41&gt;=p_ipr_crit),"Critique",IF(X41&gt;=p_ipr_act,"Élevée",IF(X41&gt;=p_ipr_watch,"Moyenne","Faible"))))</f>
        <v/>
      </c>
      <c r="Z41" s="57" t="str">
        <f>IF(X41="","",(L41-X41)/L41)</f>
        <v/>
      </c>
      <c r="AA41" s="54" t="str">
        <f>IF(AND(D41="",O41=""),"",IF(O41="",IF(N41="Oui","Action à définir",IF(N41="Non","Sans action","")),IF(R41="Annulée","Annulée",IF(R41="Réalisée",IF(X41="","À réévaluer","Réalisée"),IF(N(Q41)=0,"Échéance manquante",IF(Q41&lt;p_today,"En retard",IF(Q41-p_today&lt;=p_alert,"Échéance proche","Dans les délais")))))))</f>
        <v/>
      </c>
      <c r="AB41" s="58" t="str">
        <f>IF(AND(A41="",B41="",D41="",F41="",H41="",K41="",O41=""),"",IF(D41="","Mode de défaillance manquant",IF(AND(A41&lt;&gt;"",COUNTIF(am_num,A41)&gt;1),"N° en double",IF(F41="","Gravité G manquante",IF(NOT(IF(ISNUMBER(F41),AND(F41&gt;=1,F41&lt;=10,F41=INT(F41)),FALSE)),"G : entier de 1 à 10",IF(H41="","Occurrence O manquante",IF(NOT(IF(ISNUMBER(H41),AND(H41&gt;=1,H41&lt;=10,H41=INT(H41)),FALSE)),"O : entier de 1 à 10",IF(K41="","Détection D manquante",IF(NOT(IF(ISNUMBER(K41),AND(K41&gt;=1,K41&lt;=10,K41=INT(K41)),FALSE)),"D : entier de 1 à 10",IF(G41="","Cause manquante",IF(AND(O41&lt;&gt;"",P41=""),"Responsable manquant",IF(AND(R41&lt;&gt;"",O41=""),"Statut sans action",IF(AND(R41="Réalisée",N(S41)=0),"Date de réalisation manquante",IF(AND(T41&lt;&gt;"",IF(ISNUMBER(T41),T41&lt;0,TRUE)),"Coût invalide",IF(AND(COUNTBLANK(U41:W41)&gt;0,COUNTBLANK(U41:W41)&lt;3),"Cotation après action incomplète",IF(AND(COUNTBLANK(U41:W41)=0,X41=""),"G', O', D' : entiers de 1 à 10",IF(AND(X41&lt;&gt;"",X41&gt;L41),"IPR après action plus élevé","OK")))))))))))))))))</f>
        <v/>
      </c>
      <c r="AC41" s="59" t="str">
        <f>IF(OR(AA41="En retard",AA41="Échéance proche",AA41="Dans les délais",AA41="Échéance manquante",AA41="Action à définir",AA41="À réévaluer"),IF(OR(plan_who="",P41=plan_who),IF(N(Q41)&gt;0,Q41,99999)*1000+ROW(),""),"")</f>
        <v/>
      </c>
      <c r="AD41" s="59" t="str">
        <f>IF(L41="","",L41*1000+1000-ROW())</f>
        <v/>
      </c>
      <c r="AE41" s="59" t="str">
        <f>IF(IF(AA41="En retard",1,IF(AA41="Action à définir",2,IF(AA41="Échéance manquante",3,IF(AA41="Échéance proche",4,IF(AA41="À réévaluer",5,0)))))=0,"",IF(AA41="En retard",1,IF(AA41="Action à définir",2,IF(AA41="Échéance manquante",3,IF(AA41="Échéance proche",4,IF(AA41="À réévaluer",5,0)))))*100000000+IF(N(Q41)&gt;0,Q41,99999)*1000+ROW())</f>
        <v/>
      </c>
      <c r="AF41" s="59" t="str">
        <f>IF(X41&lt;&gt;"",X41,L41)</f>
        <v/>
      </c>
      <c r="AG41" s="59" t="str">
        <f>IF(X41&lt;&gt;"",Y41,IF(L41&lt;&gt;"",M41,""))</f>
        <v/>
      </c>
      <c r="AH41" s="59" t="str">
        <f>IF(L41="","",IF(X41&lt;&gt;"",U41,F41))</f>
        <v/>
      </c>
      <c r="AI41" s="59" t="str">
        <f>IF(L41="","",IF(X41&lt;&gt;"",V41,H41))</f>
        <v/>
      </c>
    </row>
    <row r="42" ht="30" customHeight="1">
      <c r="A42" s="50" t="n"/>
      <c r="B42" s="51" t="n"/>
      <c r="C42" s="51" t="n"/>
      <c r="D42" s="51" t="n"/>
      <c r="E42" s="51" t="n"/>
      <c r="F42" s="52" t="n"/>
      <c r="G42" s="51" t="n"/>
      <c r="H42" s="52" t="n"/>
      <c r="I42" s="51" t="n"/>
      <c r="J42" s="51" t="n"/>
      <c r="K42" s="52" t="n"/>
      <c r="L42" s="53" t="str">
        <f>IF(AND(IF(ISNUMBER(F42),AND(F42&gt;=1,F42&lt;=10,F42=INT(F42)),FALSE),IF(ISNUMBER(H42),AND(H42&gt;=1,H42&lt;=10,H42=INT(H42)),FALSE),IF(ISNUMBER(K42),AND(K42&gt;=1,K42&lt;=10,K42=INT(K42)),FALSE)),F42*H42*K42,"")</f>
        <v/>
      </c>
      <c r="M42" s="54" t="str">
        <f>IF(L42="",IF(D42="","","À coter"),IF(OR(F42&gt;=p_gmin,L42&gt;=p_ipr_crit),"Critique",IF(L42&gt;=p_ipr_act,"Élevée",IF(L42&gt;=p_ipr_watch,"Moyenne","Faible"))))</f>
        <v/>
      </c>
      <c r="N42" s="54" t="str">
        <f>IF(OR(M42="",M42="À coter"),"",IF(OR(M42="Critique",M42="Élevée"),"Oui","Non"))</f>
        <v/>
      </c>
      <c r="O42" s="51" t="n"/>
      <c r="P42" s="51" t="n"/>
      <c r="Q42" s="55" t="n"/>
      <c r="R42" s="50" t="n"/>
      <c r="S42" s="55" t="n"/>
      <c r="T42" s="56" t="n"/>
      <c r="U42" s="52" t="n"/>
      <c r="V42" s="52" t="n"/>
      <c r="W42" s="52" t="n"/>
      <c r="X42" s="53" t="str">
        <f>IF(AND(L42&lt;&gt;"",IF(ISNUMBER(U42),AND(U42&gt;=1,U42&lt;=10,U42=INT(U42)),FALSE),IF(ISNUMBER(V42),AND(V42&gt;=1,V42&lt;=10,V42=INT(V42)),FALSE),IF(ISNUMBER(W42),AND(W42&gt;=1,W42&lt;=10,W42=INT(W42)),FALSE)),U42*V42*W42,"")</f>
        <v/>
      </c>
      <c r="Y42" s="54" t="str">
        <f>IF(X42="","",IF(OR(U42&gt;=p_gmin,X42&gt;=p_ipr_crit),"Critique",IF(X42&gt;=p_ipr_act,"Élevée",IF(X42&gt;=p_ipr_watch,"Moyenne","Faible"))))</f>
        <v/>
      </c>
      <c r="Z42" s="57" t="str">
        <f>IF(X42="","",(L42-X42)/L42)</f>
        <v/>
      </c>
      <c r="AA42" s="54" t="str">
        <f>IF(AND(D42="",O42=""),"",IF(O42="",IF(N42="Oui","Action à définir",IF(N42="Non","Sans action","")),IF(R42="Annulée","Annulée",IF(R42="Réalisée",IF(X42="","À réévaluer","Réalisée"),IF(N(Q42)=0,"Échéance manquante",IF(Q42&lt;p_today,"En retard",IF(Q42-p_today&lt;=p_alert,"Échéance proche","Dans les délais")))))))</f>
        <v/>
      </c>
      <c r="AB42" s="58" t="str">
        <f>IF(AND(A42="",B42="",D42="",F42="",H42="",K42="",O42=""),"",IF(D42="","Mode de défaillance manquant",IF(AND(A42&lt;&gt;"",COUNTIF(am_num,A42)&gt;1),"N° en double",IF(F42="","Gravité G manquante",IF(NOT(IF(ISNUMBER(F42),AND(F42&gt;=1,F42&lt;=10,F42=INT(F42)),FALSE)),"G : entier de 1 à 10",IF(H42="","Occurrence O manquante",IF(NOT(IF(ISNUMBER(H42),AND(H42&gt;=1,H42&lt;=10,H42=INT(H42)),FALSE)),"O : entier de 1 à 10",IF(K42="","Détection D manquante",IF(NOT(IF(ISNUMBER(K42),AND(K42&gt;=1,K42&lt;=10,K42=INT(K42)),FALSE)),"D : entier de 1 à 10",IF(G42="","Cause manquante",IF(AND(O42&lt;&gt;"",P42=""),"Responsable manquant",IF(AND(R42&lt;&gt;"",O42=""),"Statut sans action",IF(AND(R42="Réalisée",N(S42)=0),"Date de réalisation manquante",IF(AND(T42&lt;&gt;"",IF(ISNUMBER(T42),T42&lt;0,TRUE)),"Coût invalide",IF(AND(COUNTBLANK(U42:W42)&gt;0,COUNTBLANK(U42:W42)&lt;3),"Cotation après action incomplète",IF(AND(COUNTBLANK(U42:W42)=0,X42=""),"G', O', D' : entiers de 1 à 10",IF(AND(X42&lt;&gt;"",X42&gt;L42),"IPR après action plus élevé","OK")))))))))))))))))</f>
        <v/>
      </c>
      <c r="AC42" s="59" t="str">
        <f>IF(OR(AA42="En retard",AA42="Échéance proche",AA42="Dans les délais",AA42="Échéance manquante",AA42="Action à définir",AA42="À réévaluer"),IF(OR(plan_who="",P42=plan_who),IF(N(Q42)&gt;0,Q42,99999)*1000+ROW(),""),"")</f>
        <v/>
      </c>
      <c r="AD42" s="59" t="str">
        <f>IF(L42="","",L42*1000+1000-ROW())</f>
        <v/>
      </c>
      <c r="AE42" s="59" t="str">
        <f>IF(IF(AA42="En retard",1,IF(AA42="Action à définir",2,IF(AA42="Échéance manquante",3,IF(AA42="Échéance proche",4,IF(AA42="À réévaluer",5,0)))))=0,"",IF(AA42="En retard",1,IF(AA42="Action à définir",2,IF(AA42="Échéance manquante",3,IF(AA42="Échéance proche",4,IF(AA42="À réévaluer",5,0)))))*100000000+IF(N(Q42)&gt;0,Q42,99999)*1000+ROW())</f>
        <v/>
      </c>
      <c r="AF42" s="59" t="str">
        <f>IF(X42&lt;&gt;"",X42,L42)</f>
        <v/>
      </c>
      <c r="AG42" s="59" t="str">
        <f>IF(X42&lt;&gt;"",Y42,IF(L42&lt;&gt;"",M42,""))</f>
        <v/>
      </c>
      <c r="AH42" s="59" t="str">
        <f>IF(L42="","",IF(X42&lt;&gt;"",U42,F42))</f>
        <v/>
      </c>
      <c r="AI42" s="59" t="str">
        <f>IF(L42="","",IF(X42&lt;&gt;"",V42,H42))</f>
        <v/>
      </c>
    </row>
    <row r="43" ht="30" customHeight="1">
      <c r="A43" s="50" t="n"/>
      <c r="B43" s="51" t="n"/>
      <c r="C43" s="51" t="n"/>
      <c r="D43" s="51" t="n"/>
      <c r="E43" s="51" t="n"/>
      <c r="F43" s="52" t="n"/>
      <c r="G43" s="51" t="n"/>
      <c r="H43" s="52" t="n"/>
      <c r="I43" s="51" t="n"/>
      <c r="J43" s="51" t="n"/>
      <c r="K43" s="52" t="n"/>
      <c r="L43" s="53" t="str">
        <f>IF(AND(IF(ISNUMBER(F43),AND(F43&gt;=1,F43&lt;=10,F43=INT(F43)),FALSE),IF(ISNUMBER(H43),AND(H43&gt;=1,H43&lt;=10,H43=INT(H43)),FALSE),IF(ISNUMBER(K43),AND(K43&gt;=1,K43&lt;=10,K43=INT(K43)),FALSE)),F43*H43*K43,"")</f>
        <v/>
      </c>
      <c r="M43" s="54" t="str">
        <f>IF(L43="",IF(D43="","","À coter"),IF(OR(F43&gt;=p_gmin,L43&gt;=p_ipr_crit),"Critique",IF(L43&gt;=p_ipr_act,"Élevée",IF(L43&gt;=p_ipr_watch,"Moyenne","Faible"))))</f>
        <v/>
      </c>
      <c r="N43" s="54" t="str">
        <f>IF(OR(M43="",M43="À coter"),"",IF(OR(M43="Critique",M43="Élevée"),"Oui","Non"))</f>
        <v/>
      </c>
      <c r="O43" s="51" t="n"/>
      <c r="P43" s="51" t="n"/>
      <c r="Q43" s="55" t="n"/>
      <c r="R43" s="50" t="n"/>
      <c r="S43" s="55" t="n"/>
      <c r="T43" s="56" t="n"/>
      <c r="U43" s="52" t="n"/>
      <c r="V43" s="52" t="n"/>
      <c r="W43" s="52" t="n"/>
      <c r="X43" s="53" t="str">
        <f>IF(AND(L43&lt;&gt;"",IF(ISNUMBER(U43),AND(U43&gt;=1,U43&lt;=10,U43=INT(U43)),FALSE),IF(ISNUMBER(V43),AND(V43&gt;=1,V43&lt;=10,V43=INT(V43)),FALSE),IF(ISNUMBER(W43),AND(W43&gt;=1,W43&lt;=10,W43=INT(W43)),FALSE)),U43*V43*W43,"")</f>
        <v/>
      </c>
      <c r="Y43" s="54" t="str">
        <f>IF(X43="","",IF(OR(U43&gt;=p_gmin,X43&gt;=p_ipr_crit),"Critique",IF(X43&gt;=p_ipr_act,"Élevée",IF(X43&gt;=p_ipr_watch,"Moyenne","Faible"))))</f>
        <v/>
      </c>
      <c r="Z43" s="57" t="str">
        <f>IF(X43="","",(L43-X43)/L43)</f>
        <v/>
      </c>
      <c r="AA43" s="54" t="str">
        <f>IF(AND(D43="",O43=""),"",IF(O43="",IF(N43="Oui","Action à définir",IF(N43="Non","Sans action","")),IF(R43="Annulée","Annulée",IF(R43="Réalisée",IF(X43="","À réévaluer","Réalisée"),IF(N(Q43)=0,"Échéance manquante",IF(Q43&lt;p_today,"En retard",IF(Q43-p_today&lt;=p_alert,"Échéance proche","Dans les délais")))))))</f>
        <v/>
      </c>
      <c r="AB43" s="58" t="str">
        <f>IF(AND(A43="",B43="",D43="",F43="",H43="",K43="",O43=""),"",IF(D43="","Mode de défaillance manquant",IF(AND(A43&lt;&gt;"",COUNTIF(am_num,A43)&gt;1),"N° en double",IF(F43="","Gravité G manquante",IF(NOT(IF(ISNUMBER(F43),AND(F43&gt;=1,F43&lt;=10,F43=INT(F43)),FALSE)),"G : entier de 1 à 10",IF(H43="","Occurrence O manquante",IF(NOT(IF(ISNUMBER(H43),AND(H43&gt;=1,H43&lt;=10,H43=INT(H43)),FALSE)),"O : entier de 1 à 10",IF(K43="","Détection D manquante",IF(NOT(IF(ISNUMBER(K43),AND(K43&gt;=1,K43&lt;=10,K43=INT(K43)),FALSE)),"D : entier de 1 à 10",IF(G43="","Cause manquante",IF(AND(O43&lt;&gt;"",P43=""),"Responsable manquant",IF(AND(R43&lt;&gt;"",O43=""),"Statut sans action",IF(AND(R43="Réalisée",N(S43)=0),"Date de réalisation manquante",IF(AND(T43&lt;&gt;"",IF(ISNUMBER(T43),T43&lt;0,TRUE)),"Coût invalide",IF(AND(COUNTBLANK(U43:W43)&gt;0,COUNTBLANK(U43:W43)&lt;3),"Cotation après action incomplète",IF(AND(COUNTBLANK(U43:W43)=0,X43=""),"G', O', D' : entiers de 1 à 10",IF(AND(X43&lt;&gt;"",X43&gt;L43),"IPR après action plus élevé","OK")))))))))))))))))</f>
        <v/>
      </c>
      <c r="AC43" s="59" t="str">
        <f>IF(OR(AA43="En retard",AA43="Échéance proche",AA43="Dans les délais",AA43="Échéance manquante",AA43="Action à définir",AA43="À réévaluer"),IF(OR(plan_who="",P43=plan_who),IF(N(Q43)&gt;0,Q43,99999)*1000+ROW(),""),"")</f>
        <v/>
      </c>
      <c r="AD43" s="59" t="str">
        <f>IF(L43="","",L43*1000+1000-ROW())</f>
        <v/>
      </c>
      <c r="AE43" s="59" t="str">
        <f>IF(IF(AA43="En retard",1,IF(AA43="Action à définir",2,IF(AA43="Échéance manquante",3,IF(AA43="Échéance proche",4,IF(AA43="À réévaluer",5,0)))))=0,"",IF(AA43="En retard",1,IF(AA43="Action à définir",2,IF(AA43="Échéance manquante",3,IF(AA43="Échéance proche",4,IF(AA43="À réévaluer",5,0)))))*100000000+IF(N(Q43)&gt;0,Q43,99999)*1000+ROW())</f>
        <v/>
      </c>
      <c r="AF43" s="59" t="str">
        <f>IF(X43&lt;&gt;"",X43,L43)</f>
        <v/>
      </c>
      <c r="AG43" s="59" t="str">
        <f>IF(X43&lt;&gt;"",Y43,IF(L43&lt;&gt;"",M43,""))</f>
        <v/>
      </c>
      <c r="AH43" s="59" t="str">
        <f>IF(L43="","",IF(X43&lt;&gt;"",U43,F43))</f>
        <v/>
      </c>
      <c r="AI43" s="59" t="str">
        <f>IF(L43="","",IF(X43&lt;&gt;"",V43,H43))</f>
        <v/>
      </c>
    </row>
    <row r="44" ht="30" customHeight="1">
      <c r="A44" s="50" t="n"/>
      <c r="B44" s="51" t="n"/>
      <c r="C44" s="51" t="n"/>
      <c r="D44" s="51" t="n"/>
      <c r="E44" s="51" t="n"/>
      <c r="F44" s="52" t="n"/>
      <c r="G44" s="51" t="n"/>
      <c r="H44" s="52" t="n"/>
      <c r="I44" s="51" t="n"/>
      <c r="J44" s="51" t="n"/>
      <c r="K44" s="52" t="n"/>
      <c r="L44" s="53" t="str">
        <f>IF(AND(IF(ISNUMBER(F44),AND(F44&gt;=1,F44&lt;=10,F44=INT(F44)),FALSE),IF(ISNUMBER(H44),AND(H44&gt;=1,H44&lt;=10,H44=INT(H44)),FALSE),IF(ISNUMBER(K44),AND(K44&gt;=1,K44&lt;=10,K44=INT(K44)),FALSE)),F44*H44*K44,"")</f>
        <v/>
      </c>
      <c r="M44" s="54" t="str">
        <f>IF(L44="",IF(D44="","","À coter"),IF(OR(F44&gt;=p_gmin,L44&gt;=p_ipr_crit),"Critique",IF(L44&gt;=p_ipr_act,"Élevée",IF(L44&gt;=p_ipr_watch,"Moyenne","Faible"))))</f>
        <v/>
      </c>
      <c r="N44" s="54" t="str">
        <f>IF(OR(M44="",M44="À coter"),"",IF(OR(M44="Critique",M44="Élevée"),"Oui","Non"))</f>
        <v/>
      </c>
      <c r="O44" s="51" t="n"/>
      <c r="P44" s="51" t="n"/>
      <c r="Q44" s="55" t="n"/>
      <c r="R44" s="50" t="n"/>
      <c r="S44" s="55" t="n"/>
      <c r="T44" s="56" t="n"/>
      <c r="U44" s="52" t="n"/>
      <c r="V44" s="52" t="n"/>
      <c r="W44" s="52" t="n"/>
      <c r="X44" s="53" t="str">
        <f>IF(AND(L44&lt;&gt;"",IF(ISNUMBER(U44),AND(U44&gt;=1,U44&lt;=10,U44=INT(U44)),FALSE),IF(ISNUMBER(V44),AND(V44&gt;=1,V44&lt;=10,V44=INT(V44)),FALSE),IF(ISNUMBER(W44),AND(W44&gt;=1,W44&lt;=10,W44=INT(W44)),FALSE)),U44*V44*W44,"")</f>
        <v/>
      </c>
      <c r="Y44" s="54" t="str">
        <f>IF(X44="","",IF(OR(U44&gt;=p_gmin,X44&gt;=p_ipr_crit),"Critique",IF(X44&gt;=p_ipr_act,"Élevée",IF(X44&gt;=p_ipr_watch,"Moyenne","Faible"))))</f>
        <v/>
      </c>
      <c r="Z44" s="57" t="str">
        <f>IF(X44="","",(L44-X44)/L44)</f>
        <v/>
      </c>
      <c r="AA44" s="54" t="str">
        <f>IF(AND(D44="",O44=""),"",IF(O44="",IF(N44="Oui","Action à définir",IF(N44="Non","Sans action","")),IF(R44="Annulée","Annulée",IF(R44="Réalisée",IF(X44="","À réévaluer","Réalisée"),IF(N(Q44)=0,"Échéance manquante",IF(Q44&lt;p_today,"En retard",IF(Q44-p_today&lt;=p_alert,"Échéance proche","Dans les délais")))))))</f>
        <v/>
      </c>
      <c r="AB44" s="58" t="str">
        <f>IF(AND(A44="",B44="",D44="",F44="",H44="",K44="",O44=""),"",IF(D44="","Mode de défaillance manquant",IF(AND(A44&lt;&gt;"",COUNTIF(am_num,A44)&gt;1),"N° en double",IF(F44="","Gravité G manquante",IF(NOT(IF(ISNUMBER(F44),AND(F44&gt;=1,F44&lt;=10,F44=INT(F44)),FALSE)),"G : entier de 1 à 10",IF(H44="","Occurrence O manquante",IF(NOT(IF(ISNUMBER(H44),AND(H44&gt;=1,H44&lt;=10,H44=INT(H44)),FALSE)),"O : entier de 1 à 10",IF(K44="","Détection D manquante",IF(NOT(IF(ISNUMBER(K44),AND(K44&gt;=1,K44&lt;=10,K44=INT(K44)),FALSE)),"D : entier de 1 à 10",IF(G44="","Cause manquante",IF(AND(O44&lt;&gt;"",P44=""),"Responsable manquant",IF(AND(R44&lt;&gt;"",O44=""),"Statut sans action",IF(AND(R44="Réalisée",N(S44)=0),"Date de réalisation manquante",IF(AND(T44&lt;&gt;"",IF(ISNUMBER(T44),T44&lt;0,TRUE)),"Coût invalide",IF(AND(COUNTBLANK(U44:W44)&gt;0,COUNTBLANK(U44:W44)&lt;3),"Cotation après action incomplète",IF(AND(COUNTBLANK(U44:W44)=0,X44=""),"G', O', D' : entiers de 1 à 10",IF(AND(X44&lt;&gt;"",X44&gt;L44),"IPR après action plus élevé","OK")))))))))))))))))</f>
        <v/>
      </c>
      <c r="AC44" s="59" t="str">
        <f>IF(OR(AA44="En retard",AA44="Échéance proche",AA44="Dans les délais",AA44="Échéance manquante",AA44="Action à définir",AA44="À réévaluer"),IF(OR(plan_who="",P44=plan_who),IF(N(Q44)&gt;0,Q44,99999)*1000+ROW(),""),"")</f>
        <v/>
      </c>
      <c r="AD44" s="59" t="str">
        <f>IF(L44="","",L44*1000+1000-ROW())</f>
        <v/>
      </c>
      <c r="AE44" s="59" t="str">
        <f>IF(IF(AA44="En retard",1,IF(AA44="Action à définir",2,IF(AA44="Échéance manquante",3,IF(AA44="Échéance proche",4,IF(AA44="À réévaluer",5,0)))))=0,"",IF(AA44="En retard",1,IF(AA44="Action à définir",2,IF(AA44="Échéance manquante",3,IF(AA44="Échéance proche",4,IF(AA44="À réévaluer",5,0)))))*100000000+IF(N(Q44)&gt;0,Q44,99999)*1000+ROW())</f>
        <v/>
      </c>
      <c r="AF44" s="59" t="str">
        <f>IF(X44&lt;&gt;"",X44,L44)</f>
        <v/>
      </c>
      <c r="AG44" s="59" t="str">
        <f>IF(X44&lt;&gt;"",Y44,IF(L44&lt;&gt;"",M44,""))</f>
        <v/>
      </c>
      <c r="AH44" s="59" t="str">
        <f>IF(L44="","",IF(X44&lt;&gt;"",U44,F44))</f>
        <v/>
      </c>
      <c r="AI44" s="59" t="str">
        <f>IF(L44="","",IF(X44&lt;&gt;"",V44,H44))</f>
        <v/>
      </c>
    </row>
    <row r="45" ht="30" customHeight="1">
      <c r="A45" s="50" t="n"/>
      <c r="B45" s="51" t="n"/>
      <c r="C45" s="51" t="n"/>
      <c r="D45" s="51" t="n"/>
      <c r="E45" s="51" t="n"/>
      <c r="F45" s="52" t="n"/>
      <c r="G45" s="51" t="n"/>
      <c r="H45" s="52" t="n"/>
      <c r="I45" s="51" t="n"/>
      <c r="J45" s="51" t="n"/>
      <c r="K45" s="52" t="n"/>
      <c r="L45" s="53" t="str">
        <f>IF(AND(IF(ISNUMBER(F45),AND(F45&gt;=1,F45&lt;=10,F45=INT(F45)),FALSE),IF(ISNUMBER(H45),AND(H45&gt;=1,H45&lt;=10,H45=INT(H45)),FALSE),IF(ISNUMBER(K45),AND(K45&gt;=1,K45&lt;=10,K45=INT(K45)),FALSE)),F45*H45*K45,"")</f>
        <v/>
      </c>
      <c r="M45" s="54" t="str">
        <f>IF(L45="",IF(D45="","","À coter"),IF(OR(F45&gt;=p_gmin,L45&gt;=p_ipr_crit),"Critique",IF(L45&gt;=p_ipr_act,"Élevée",IF(L45&gt;=p_ipr_watch,"Moyenne","Faible"))))</f>
        <v/>
      </c>
      <c r="N45" s="54" t="str">
        <f>IF(OR(M45="",M45="À coter"),"",IF(OR(M45="Critique",M45="Élevée"),"Oui","Non"))</f>
        <v/>
      </c>
      <c r="O45" s="51" t="n"/>
      <c r="P45" s="51" t="n"/>
      <c r="Q45" s="55" t="n"/>
      <c r="R45" s="50" t="n"/>
      <c r="S45" s="55" t="n"/>
      <c r="T45" s="56" t="n"/>
      <c r="U45" s="52" t="n"/>
      <c r="V45" s="52" t="n"/>
      <c r="W45" s="52" t="n"/>
      <c r="X45" s="53" t="str">
        <f>IF(AND(L45&lt;&gt;"",IF(ISNUMBER(U45),AND(U45&gt;=1,U45&lt;=10,U45=INT(U45)),FALSE),IF(ISNUMBER(V45),AND(V45&gt;=1,V45&lt;=10,V45=INT(V45)),FALSE),IF(ISNUMBER(W45),AND(W45&gt;=1,W45&lt;=10,W45=INT(W45)),FALSE)),U45*V45*W45,"")</f>
        <v/>
      </c>
      <c r="Y45" s="54" t="str">
        <f>IF(X45="","",IF(OR(U45&gt;=p_gmin,X45&gt;=p_ipr_crit),"Critique",IF(X45&gt;=p_ipr_act,"Élevée",IF(X45&gt;=p_ipr_watch,"Moyenne","Faible"))))</f>
        <v/>
      </c>
      <c r="Z45" s="57" t="str">
        <f>IF(X45="","",(L45-X45)/L45)</f>
        <v/>
      </c>
      <c r="AA45" s="54" t="str">
        <f>IF(AND(D45="",O45=""),"",IF(O45="",IF(N45="Oui","Action à définir",IF(N45="Non","Sans action","")),IF(R45="Annulée","Annulée",IF(R45="Réalisée",IF(X45="","À réévaluer","Réalisée"),IF(N(Q45)=0,"Échéance manquante",IF(Q45&lt;p_today,"En retard",IF(Q45-p_today&lt;=p_alert,"Échéance proche","Dans les délais")))))))</f>
        <v/>
      </c>
      <c r="AB45" s="58" t="str">
        <f>IF(AND(A45="",B45="",D45="",F45="",H45="",K45="",O45=""),"",IF(D45="","Mode de défaillance manquant",IF(AND(A45&lt;&gt;"",COUNTIF(am_num,A45)&gt;1),"N° en double",IF(F45="","Gravité G manquante",IF(NOT(IF(ISNUMBER(F45),AND(F45&gt;=1,F45&lt;=10,F45=INT(F45)),FALSE)),"G : entier de 1 à 10",IF(H45="","Occurrence O manquante",IF(NOT(IF(ISNUMBER(H45),AND(H45&gt;=1,H45&lt;=10,H45=INT(H45)),FALSE)),"O : entier de 1 à 10",IF(K45="","Détection D manquante",IF(NOT(IF(ISNUMBER(K45),AND(K45&gt;=1,K45&lt;=10,K45=INT(K45)),FALSE)),"D : entier de 1 à 10",IF(G45="","Cause manquante",IF(AND(O45&lt;&gt;"",P45=""),"Responsable manquant",IF(AND(R45&lt;&gt;"",O45=""),"Statut sans action",IF(AND(R45="Réalisée",N(S45)=0),"Date de réalisation manquante",IF(AND(T45&lt;&gt;"",IF(ISNUMBER(T45),T45&lt;0,TRUE)),"Coût invalide",IF(AND(COUNTBLANK(U45:W45)&gt;0,COUNTBLANK(U45:W45)&lt;3),"Cotation après action incomplète",IF(AND(COUNTBLANK(U45:W45)=0,X45=""),"G', O', D' : entiers de 1 à 10",IF(AND(X45&lt;&gt;"",X45&gt;L45),"IPR après action plus élevé","OK")))))))))))))))))</f>
        <v/>
      </c>
      <c r="AC45" s="59" t="str">
        <f>IF(OR(AA45="En retard",AA45="Échéance proche",AA45="Dans les délais",AA45="Échéance manquante",AA45="Action à définir",AA45="À réévaluer"),IF(OR(plan_who="",P45=plan_who),IF(N(Q45)&gt;0,Q45,99999)*1000+ROW(),""),"")</f>
        <v/>
      </c>
      <c r="AD45" s="59" t="str">
        <f>IF(L45="","",L45*1000+1000-ROW())</f>
        <v/>
      </c>
      <c r="AE45" s="59" t="str">
        <f>IF(IF(AA45="En retard",1,IF(AA45="Action à définir",2,IF(AA45="Échéance manquante",3,IF(AA45="Échéance proche",4,IF(AA45="À réévaluer",5,0)))))=0,"",IF(AA45="En retard",1,IF(AA45="Action à définir",2,IF(AA45="Échéance manquante",3,IF(AA45="Échéance proche",4,IF(AA45="À réévaluer",5,0)))))*100000000+IF(N(Q45)&gt;0,Q45,99999)*1000+ROW())</f>
        <v/>
      </c>
      <c r="AF45" s="59" t="str">
        <f>IF(X45&lt;&gt;"",X45,L45)</f>
        <v/>
      </c>
      <c r="AG45" s="59" t="str">
        <f>IF(X45&lt;&gt;"",Y45,IF(L45&lt;&gt;"",M45,""))</f>
        <v/>
      </c>
      <c r="AH45" s="59" t="str">
        <f>IF(L45="","",IF(X45&lt;&gt;"",U45,F45))</f>
        <v/>
      </c>
      <c r="AI45" s="59" t="str">
        <f>IF(L45="","",IF(X45&lt;&gt;"",V45,H45))</f>
        <v/>
      </c>
    </row>
    <row r="46" ht="30" customHeight="1">
      <c r="A46" s="50" t="n"/>
      <c r="B46" s="51" t="n"/>
      <c r="C46" s="51" t="n"/>
      <c r="D46" s="51" t="n"/>
      <c r="E46" s="51" t="n"/>
      <c r="F46" s="52" t="n"/>
      <c r="G46" s="51" t="n"/>
      <c r="H46" s="52" t="n"/>
      <c r="I46" s="51" t="n"/>
      <c r="J46" s="51" t="n"/>
      <c r="K46" s="52" t="n"/>
      <c r="L46" s="53" t="str">
        <f>IF(AND(IF(ISNUMBER(F46),AND(F46&gt;=1,F46&lt;=10,F46=INT(F46)),FALSE),IF(ISNUMBER(H46),AND(H46&gt;=1,H46&lt;=10,H46=INT(H46)),FALSE),IF(ISNUMBER(K46),AND(K46&gt;=1,K46&lt;=10,K46=INT(K46)),FALSE)),F46*H46*K46,"")</f>
        <v/>
      </c>
      <c r="M46" s="54" t="str">
        <f>IF(L46="",IF(D46="","","À coter"),IF(OR(F46&gt;=p_gmin,L46&gt;=p_ipr_crit),"Critique",IF(L46&gt;=p_ipr_act,"Élevée",IF(L46&gt;=p_ipr_watch,"Moyenne","Faible"))))</f>
        <v/>
      </c>
      <c r="N46" s="54" t="str">
        <f>IF(OR(M46="",M46="À coter"),"",IF(OR(M46="Critique",M46="Élevée"),"Oui","Non"))</f>
        <v/>
      </c>
      <c r="O46" s="51" t="n"/>
      <c r="P46" s="51" t="n"/>
      <c r="Q46" s="55" t="n"/>
      <c r="R46" s="50" t="n"/>
      <c r="S46" s="55" t="n"/>
      <c r="T46" s="56" t="n"/>
      <c r="U46" s="52" t="n"/>
      <c r="V46" s="52" t="n"/>
      <c r="W46" s="52" t="n"/>
      <c r="X46" s="53" t="str">
        <f>IF(AND(L46&lt;&gt;"",IF(ISNUMBER(U46),AND(U46&gt;=1,U46&lt;=10,U46=INT(U46)),FALSE),IF(ISNUMBER(V46),AND(V46&gt;=1,V46&lt;=10,V46=INT(V46)),FALSE),IF(ISNUMBER(W46),AND(W46&gt;=1,W46&lt;=10,W46=INT(W46)),FALSE)),U46*V46*W46,"")</f>
        <v/>
      </c>
      <c r="Y46" s="54" t="str">
        <f>IF(X46="","",IF(OR(U46&gt;=p_gmin,X46&gt;=p_ipr_crit),"Critique",IF(X46&gt;=p_ipr_act,"Élevée",IF(X46&gt;=p_ipr_watch,"Moyenne","Faible"))))</f>
        <v/>
      </c>
      <c r="Z46" s="57" t="str">
        <f>IF(X46="","",(L46-X46)/L46)</f>
        <v/>
      </c>
      <c r="AA46" s="54" t="str">
        <f>IF(AND(D46="",O46=""),"",IF(O46="",IF(N46="Oui","Action à définir",IF(N46="Non","Sans action","")),IF(R46="Annulée","Annulée",IF(R46="Réalisée",IF(X46="","À réévaluer","Réalisée"),IF(N(Q46)=0,"Échéance manquante",IF(Q46&lt;p_today,"En retard",IF(Q46-p_today&lt;=p_alert,"Échéance proche","Dans les délais")))))))</f>
        <v/>
      </c>
      <c r="AB46" s="58" t="str">
        <f>IF(AND(A46="",B46="",D46="",F46="",H46="",K46="",O46=""),"",IF(D46="","Mode de défaillance manquant",IF(AND(A46&lt;&gt;"",COUNTIF(am_num,A46)&gt;1),"N° en double",IF(F46="","Gravité G manquante",IF(NOT(IF(ISNUMBER(F46),AND(F46&gt;=1,F46&lt;=10,F46=INT(F46)),FALSE)),"G : entier de 1 à 10",IF(H46="","Occurrence O manquante",IF(NOT(IF(ISNUMBER(H46),AND(H46&gt;=1,H46&lt;=10,H46=INT(H46)),FALSE)),"O : entier de 1 à 10",IF(K46="","Détection D manquante",IF(NOT(IF(ISNUMBER(K46),AND(K46&gt;=1,K46&lt;=10,K46=INT(K46)),FALSE)),"D : entier de 1 à 10",IF(G46="","Cause manquante",IF(AND(O46&lt;&gt;"",P46=""),"Responsable manquant",IF(AND(R46&lt;&gt;"",O46=""),"Statut sans action",IF(AND(R46="Réalisée",N(S46)=0),"Date de réalisation manquante",IF(AND(T46&lt;&gt;"",IF(ISNUMBER(T46),T46&lt;0,TRUE)),"Coût invalide",IF(AND(COUNTBLANK(U46:W46)&gt;0,COUNTBLANK(U46:W46)&lt;3),"Cotation après action incomplète",IF(AND(COUNTBLANK(U46:W46)=0,X46=""),"G', O', D' : entiers de 1 à 10",IF(AND(X46&lt;&gt;"",X46&gt;L46),"IPR après action plus élevé","OK")))))))))))))))))</f>
        <v/>
      </c>
      <c r="AC46" s="59" t="str">
        <f>IF(OR(AA46="En retard",AA46="Échéance proche",AA46="Dans les délais",AA46="Échéance manquante",AA46="Action à définir",AA46="À réévaluer"),IF(OR(plan_who="",P46=plan_who),IF(N(Q46)&gt;0,Q46,99999)*1000+ROW(),""),"")</f>
        <v/>
      </c>
      <c r="AD46" s="59" t="str">
        <f>IF(L46="","",L46*1000+1000-ROW())</f>
        <v/>
      </c>
      <c r="AE46" s="59" t="str">
        <f>IF(IF(AA46="En retard",1,IF(AA46="Action à définir",2,IF(AA46="Échéance manquante",3,IF(AA46="Échéance proche",4,IF(AA46="À réévaluer",5,0)))))=0,"",IF(AA46="En retard",1,IF(AA46="Action à définir",2,IF(AA46="Échéance manquante",3,IF(AA46="Échéance proche",4,IF(AA46="À réévaluer",5,0)))))*100000000+IF(N(Q46)&gt;0,Q46,99999)*1000+ROW())</f>
        <v/>
      </c>
      <c r="AF46" s="59" t="str">
        <f>IF(X46&lt;&gt;"",X46,L46)</f>
        <v/>
      </c>
      <c r="AG46" s="59" t="str">
        <f>IF(X46&lt;&gt;"",Y46,IF(L46&lt;&gt;"",M46,""))</f>
        <v/>
      </c>
      <c r="AH46" s="59" t="str">
        <f>IF(L46="","",IF(X46&lt;&gt;"",U46,F46))</f>
        <v/>
      </c>
      <c r="AI46" s="59" t="str">
        <f>IF(L46="","",IF(X46&lt;&gt;"",V46,H46))</f>
        <v/>
      </c>
    </row>
    <row r="47" ht="30" customHeight="1">
      <c r="A47" s="50" t="n"/>
      <c r="B47" s="51" t="n"/>
      <c r="C47" s="51" t="n"/>
      <c r="D47" s="51" t="n"/>
      <c r="E47" s="51" t="n"/>
      <c r="F47" s="52" t="n"/>
      <c r="G47" s="51" t="n"/>
      <c r="H47" s="52" t="n"/>
      <c r="I47" s="51" t="n"/>
      <c r="J47" s="51" t="n"/>
      <c r="K47" s="52" t="n"/>
      <c r="L47" s="53" t="str">
        <f>IF(AND(IF(ISNUMBER(F47),AND(F47&gt;=1,F47&lt;=10,F47=INT(F47)),FALSE),IF(ISNUMBER(H47),AND(H47&gt;=1,H47&lt;=10,H47=INT(H47)),FALSE),IF(ISNUMBER(K47),AND(K47&gt;=1,K47&lt;=10,K47=INT(K47)),FALSE)),F47*H47*K47,"")</f>
        <v/>
      </c>
      <c r="M47" s="54" t="str">
        <f>IF(L47="",IF(D47="","","À coter"),IF(OR(F47&gt;=p_gmin,L47&gt;=p_ipr_crit),"Critique",IF(L47&gt;=p_ipr_act,"Élevée",IF(L47&gt;=p_ipr_watch,"Moyenne","Faible"))))</f>
        <v/>
      </c>
      <c r="N47" s="54" t="str">
        <f>IF(OR(M47="",M47="À coter"),"",IF(OR(M47="Critique",M47="Élevée"),"Oui","Non"))</f>
        <v/>
      </c>
      <c r="O47" s="51" t="n"/>
      <c r="P47" s="51" t="n"/>
      <c r="Q47" s="55" t="n"/>
      <c r="R47" s="50" t="n"/>
      <c r="S47" s="55" t="n"/>
      <c r="T47" s="56" t="n"/>
      <c r="U47" s="52" t="n"/>
      <c r="V47" s="52" t="n"/>
      <c r="W47" s="52" t="n"/>
      <c r="X47" s="53" t="str">
        <f>IF(AND(L47&lt;&gt;"",IF(ISNUMBER(U47),AND(U47&gt;=1,U47&lt;=10,U47=INT(U47)),FALSE),IF(ISNUMBER(V47),AND(V47&gt;=1,V47&lt;=10,V47=INT(V47)),FALSE),IF(ISNUMBER(W47),AND(W47&gt;=1,W47&lt;=10,W47=INT(W47)),FALSE)),U47*V47*W47,"")</f>
        <v/>
      </c>
      <c r="Y47" s="54" t="str">
        <f>IF(X47="","",IF(OR(U47&gt;=p_gmin,X47&gt;=p_ipr_crit),"Critique",IF(X47&gt;=p_ipr_act,"Élevée",IF(X47&gt;=p_ipr_watch,"Moyenne","Faible"))))</f>
        <v/>
      </c>
      <c r="Z47" s="57" t="str">
        <f>IF(X47="","",(L47-X47)/L47)</f>
        <v/>
      </c>
      <c r="AA47" s="54" t="str">
        <f>IF(AND(D47="",O47=""),"",IF(O47="",IF(N47="Oui","Action à définir",IF(N47="Non","Sans action","")),IF(R47="Annulée","Annulée",IF(R47="Réalisée",IF(X47="","À réévaluer","Réalisée"),IF(N(Q47)=0,"Échéance manquante",IF(Q47&lt;p_today,"En retard",IF(Q47-p_today&lt;=p_alert,"Échéance proche","Dans les délais")))))))</f>
        <v/>
      </c>
      <c r="AB47" s="58" t="str">
        <f>IF(AND(A47="",B47="",D47="",F47="",H47="",K47="",O47=""),"",IF(D47="","Mode de défaillance manquant",IF(AND(A47&lt;&gt;"",COUNTIF(am_num,A47)&gt;1),"N° en double",IF(F47="","Gravité G manquante",IF(NOT(IF(ISNUMBER(F47),AND(F47&gt;=1,F47&lt;=10,F47=INT(F47)),FALSE)),"G : entier de 1 à 10",IF(H47="","Occurrence O manquante",IF(NOT(IF(ISNUMBER(H47),AND(H47&gt;=1,H47&lt;=10,H47=INT(H47)),FALSE)),"O : entier de 1 à 10",IF(K47="","Détection D manquante",IF(NOT(IF(ISNUMBER(K47),AND(K47&gt;=1,K47&lt;=10,K47=INT(K47)),FALSE)),"D : entier de 1 à 10",IF(G47="","Cause manquante",IF(AND(O47&lt;&gt;"",P47=""),"Responsable manquant",IF(AND(R47&lt;&gt;"",O47=""),"Statut sans action",IF(AND(R47="Réalisée",N(S47)=0),"Date de réalisation manquante",IF(AND(T47&lt;&gt;"",IF(ISNUMBER(T47),T47&lt;0,TRUE)),"Coût invalide",IF(AND(COUNTBLANK(U47:W47)&gt;0,COUNTBLANK(U47:W47)&lt;3),"Cotation après action incomplète",IF(AND(COUNTBLANK(U47:W47)=0,X47=""),"G', O', D' : entiers de 1 à 10",IF(AND(X47&lt;&gt;"",X47&gt;L47),"IPR après action plus élevé","OK")))))))))))))))))</f>
        <v/>
      </c>
      <c r="AC47" s="59" t="str">
        <f>IF(OR(AA47="En retard",AA47="Échéance proche",AA47="Dans les délais",AA47="Échéance manquante",AA47="Action à définir",AA47="À réévaluer"),IF(OR(plan_who="",P47=plan_who),IF(N(Q47)&gt;0,Q47,99999)*1000+ROW(),""),"")</f>
        <v/>
      </c>
      <c r="AD47" s="59" t="str">
        <f>IF(L47="","",L47*1000+1000-ROW())</f>
        <v/>
      </c>
      <c r="AE47" s="59" t="str">
        <f>IF(IF(AA47="En retard",1,IF(AA47="Action à définir",2,IF(AA47="Échéance manquante",3,IF(AA47="Échéance proche",4,IF(AA47="À réévaluer",5,0)))))=0,"",IF(AA47="En retard",1,IF(AA47="Action à définir",2,IF(AA47="Échéance manquante",3,IF(AA47="Échéance proche",4,IF(AA47="À réévaluer",5,0)))))*100000000+IF(N(Q47)&gt;0,Q47,99999)*1000+ROW())</f>
        <v/>
      </c>
      <c r="AF47" s="59" t="str">
        <f>IF(X47&lt;&gt;"",X47,L47)</f>
        <v/>
      </c>
      <c r="AG47" s="59" t="str">
        <f>IF(X47&lt;&gt;"",Y47,IF(L47&lt;&gt;"",M47,""))</f>
        <v/>
      </c>
      <c r="AH47" s="59" t="str">
        <f>IF(L47="","",IF(X47&lt;&gt;"",U47,F47))</f>
        <v/>
      </c>
      <c r="AI47" s="59" t="str">
        <f>IF(L47="","",IF(X47&lt;&gt;"",V47,H47))</f>
        <v/>
      </c>
    </row>
    <row r="48" ht="30" customHeight="1">
      <c r="A48" s="50" t="n"/>
      <c r="B48" s="51" t="n"/>
      <c r="C48" s="51" t="n"/>
      <c r="D48" s="51" t="n"/>
      <c r="E48" s="51" t="n"/>
      <c r="F48" s="52" t="n"/>
      <c r="G48" s="51" t="n"/>
      <c r="H48" s="52" t="n"/>
      <c r="I48" s="51" t="n"/>
      <c r="J48" s="51" t="n"/>
      <c r="K48" s="52" t="n"/>
      <c r="L48" s="53" t="str">
        <f>IF(AND(IF(ISNUMBER(F48),AND(F48&gt;=1,F48&lt;=10,F48=INT(F48)),FALSE),IF(ISNUMBER(H48),AND(H48&gt;=1,H48&lt;=10,H48=INT(H48)),FALSE),IF(ISNUMBER(K48),AND(K48&gt;=1,K48&lt;=10,K48=INT(K48)),FALSE)),F48*H48*K48,"")</f>
        <v/>
      </c>
      <c r="M48" s="54" t="str">
        <f>IF(L48="",IF(D48="","","À coter"),IF(OR(F48&gt;=p_gmin,L48&gt;=p_ipr_crit),"Critique",IF(L48&gt;=p_ipr_act,"Élevée",IF(L48&gt;=p_ipr_watch,"Moyenne","Faible"))))</f>
        <v/>
      </c>
      <c r="N48" s="54" t="str">
        <f>IF(OR(M48="",M48="À coter"),"",IF(OR(M48="Critique",M48="Élevée"),"Oui","Non"))</f>
        <v/>
      </c>
      <c r="O48" s="51" t="n"/>
      <c r="P48" s="51" t="n"/>
      <c r="Q48" s="55" t="n"/>
      <c r="R48" s="50" t="n"/>
      <c r="S48" s="55" t="n"/>
      <c r="T48" s="56" t="n"/>
      <c r="U48" s="52" t="n"/>
      <c r="V48" s="52" t="n"/>
      <c r="W48" s="52" t="n"/>
      <c r="X48" s="53" t="str">
        <f>IF(AND(L48&lt;&gt;"",IF(ISNUMBER(U48),AND(U48&gt;=1,U48&lt;=10,U48=INT(U48)),FALSE),IF(ISNUMBER(V48),AND(V48&gt;=1,V48&lt;=10,V48=INT(V48)),FALSE),IF(ISNUMBER(W48),AND(W48&gt;=1,W48&lt;=10,W48=INT(W48)),FALSE)),U48*V48*W48,"")</f>
        <v/>
      </c>
      <c r="Y48" s="54" t="str">
        <f>IF(X48="","",IF(OR(U48&gt;=p_gmin,X48&gt;=p_ipr_crit),"Critique",IF(X48&gt;=p_ipr_act,"Élevée",IF(X48&gt;=p_ipr_watch,"Moyenne","Faible"))))</f>
        <v/>
      </c>
      <c r="Z48" s="57" t="str">
        <f>IF(X48="","",(L48-X48)/L48)</f>
        <v/>
      </c>
      <c r="AA48" s="54" t="str">
        <f>IF(AND(D48="",O48=""),"",IF(O48="",IF(N48="Oui","Action à définir",IF(N48="Non","Sans action","")),IF(R48="Annulée","Annulée",IF(R48="Réalisée",IF(X48="","À réévaluer","Réalisée"),IF(N(Q48)=0,"Échéance manquante",IF(Q48&lt;p_today,"En retard",IF(Q48-p_today&lt;=p_alert,"Échéance proche","Dans les délais")))))))</f>
        <v/>
      </c>
      <c r="AB48" s="58" t="str">
        <f>IF(AND(A48="",B48="",D48="",F48="",H48="",K48="",O48=""),"",IF(D48="","Mode de défaillance manquant",IF(AND(A48&lt;&gt;"",COUNTIF(am_num,A48)&gt;1),"N° en double",IF(F48="","Gravité G manquante",IF(NOT(IF(ISNUMBER(F48),AND(F48&gt;=1,F48&lt;=10,F48=INT(F48)),FALSE)),"G : entier de 1 à 10",IF(H48="","Occurrence O manquante",IF(NOT(IF(ISNUMBER(H48),AND(H48&gt;=1,H48&lt;=10,H48=INT(H48)),FALSE)),"O : entier de 1 à 10",IF(K48="","Détection D manquante",IF(NOT(IF(ISNUMBER(K48),AND(K48&gt;=1,K48&lt;=10,K48=INT(K48)),FALSE)),"D : entier de 1 à 10",IF(G48="","Cause manquante",IF(AND(O48&lt;&gt;"",P48=""),"Responsable manquant",IF(AND(R48&lt;&gt;"",O48=""),"Statut sans action",IF(AND(R48="Réalisée",N(S48)=0),"Date de réalisation manquante",IF(AND(T48&lt;&gt;"",IF(ISNUMBER(T48),T48&lt;0,TRUE)),"Coût invalide",IF(AND(COUNTBLANK(U48:W48)&gt;0,COUNTBLANK(U48:W48)&lt;3),"Cotation après action incomplète",IF(AND(COUNTBLANK(U48:W48)=0,X48=""),"G', O', D' : entiers de 1 à 10",IF(AND(X48&lt;&gt;"",X48&gt;L48),"IPR après action plus élevé","OK")))))))))))))))))</f>
        <v/>
      </c>
      <c r="AC48" s="59" t="str">
        <f>IF(OR(AA48="En retard",AA48="Échéance proche",AA48="Dans les délais",AA48="Échéance manquante",AA48="Action à définir",AA48="À réévaluer"),IF(OR(plan_who="",P48=plan_who),IF(N(Q48)&gt;0,Q48,99999)*1000+ROW(),""),"")</f>
        <v/>
      </c>
      <c r="AD48" s="59" t="str">
        <f>IF(L48="","",L48*1000+1000-ROW())</f>
        <v/>
      </c>
      <c r="AE48" s="59" t="str">
        <f>IF(IF(AA48="En retard",1,IF(AA48="Action à définir",2,IF(AA48="Échéance manquante",3,IF(AA48="Échéance proche",4,IF(AA48="À réévaluer",5,0)))))=0,"",IF(AA48="En retard",1,IF(AA48="Action à définir",2,IF(AA48="Échéance manquante",3,IF(AA48="Échéance proche",4,IF(AA48="À réévaluer",5,0)))))*100000000+IF(N(Q48)&gt;0,Q48,99999)*1000+ROW())</f>
        <v/>
      </c>
      <c r="AF48" s="59" t="str">
        <f>IF(X48&lt;&gt;"",X48,L48)</f>
        <v/>
      </c>
      <c r="AG48" s="59" t="str">
        <f>IF(X48&lt;&gt;"",Y48,IF(L48&lt;&gt;"",M48,""))</f>
        <v/>
      </c>
      <c r="AH48" s="59" t="str">
        <f>IF(L48="","",IF(X48&lt;&gt;"",U48,F48))</f>
        <v/>
      </c>
      <c r="AI48" s="59" t="str">
        <f>IF(L48="","",IF(X48&lt;&gt;"",V48,H48))</f>
        <v/>
      </c>
    </row>
    <row r="49" ht="30" customHeight="1">
      <c r="A49" s="50" t="n"/>
      <c r="B49" s="51" t="n"/>
      <c r="C49" s="51" t="n"/>
      <c r="D49" s="51" t="n"/>
      <c r="E49" s="51" t="n"/>
      <c r="F49" s="52" t="n"/>
      <c r="G49" s="51" t="n"/>
      <c r="H49" s="52" t="n"/>
      <c r="I49" s="51" t="n"/>
      <c r="J49" s="51" t="n"/>
      <c r="K49" s="52" t="n"/>
      <c r="L49" s="53" t="str">
        <f>IF(AND(IF(ISNUMBER(F49),AND(F49&gt;=1,F49&lt;=10,F49=INT(F49)),FALSE),IF(ISNUMBER(H49),AND(H49&gt;=1,H49&lt;=10,H49=INT(H49)),FALSE),IF(ISNUMBER(K49),AND(K49&gt;=1,K49&lt;=10,K49=INT(K49)),FALSE)),F49*H49*K49,"")</f>
        <v/>
      </c>
      <c r="M49" s="54" t="str">
        <f>IF(L49="",IF(D49="","","À coter"),IF(OR(F49&gt;=p_gmin,L49&gt;=p_ipr_crit),"Critique",IF(L49&gt;=p_ipr_act,"Élevée",IF(L49&gt;=p_ipr_watch,"Moyenne","Faible"))))</f>
        <v/>
      </c>
      <c r="N49" s="54" t="str">
        <f>IF(OR(M49="",M49="À coter"),"",IF(OR(M49="Critique",M49="Élevée"),"Oui","Non"))</f>
        <v/>
      </c>
      <c r="O49" s="51" t="n"/>
      <c r="P49" s="51" t="n"/>
      <c r="Q49" s="55" t="n"/>
      <c r="R49" s="50" t="n"/>
      <c r="S49" s="55" t="n"/>
      <c r="T49" s="56" t="n"/>
      <c r="U49" s="52" t="n"/>
      <c r="V49" s="52" t="n"/>
      <c r="W49" s="52" t="n"/>
      <c r="X49" s="53" t="str">
        <f>IF(AND(L49&lt;&gt;"",IF(ISNUMBER(U49),AND(U49&gt;=1,U49&lt;=10,U49=INT(U49)),FALSE),IF(ISNUMBER(V49),AND(V49&gt;=1,V49&lt;=10,V49=INT(V49)),FALSE),IF(ISNUMBER(W49),AND(W49&gt;=1,W49&lt;=10,W49=INT(W49)),FALSE)),U49*V49*W49,"")</f>
        <v/>
      </c>
      <c r="Y49" s="54" t="str">
        <f>IF(X49="","",IF(OR(U49&gt;=p_gmin,X49&gt;=p_ipr_crit),"Critique",IF(X49&gt;=p_ipr_act,"Élevée",IF(X49&gt;=p_ipr_watch,"Moyenne","Faible"))))</f>
        <v/>
      </c>
      <c r="Z49" s="57" t="str">
        <f>IF(X49="","",(L49-X49)/L49)</f>
        <v/>
      </c>
      <c r="AA49" s="54" t="str">
        <f>IF(AND(D49="",O49=""),"",IF(O49="",IF(N49="Oui","Action à définir",IF(N49="Non","Sans action","")),IF(R49="Annulée","Annulée",IF(R49="Réalisée",IF(X49="","À réévaluer","Réalisée"),IF(N(Q49)=0,"Échéance manquante",IF(Q49&lt;p_today,"En retard",IF(Q49-p_today&lt;=p_alert,"Échéance proche","Dans les délais")))))))</f>
        <v/>
      </c>
      <c r="AB49" s="58" t="str">
        <f>IF(AND(A49="",B49="",D49="",F49="",H49="",K49="",O49=""),"",IF(D49="","Mode de défaillance manquant",IF(AND(A49&lt;&gt;"",COUNTIF(am_num,A49)&gt;1),"N° en double",IF(F49="","Gravité G manquante",IF(NOT(IF(ISNUMBER(F49),AND(F49&gt;=1,F49&lt;=10,F49=INT(F49)),FALSE)),"G : entier de 1 à 10",IF(H49="","Occurrence O manquante",IF(NOT(IF(ISNUMBER(H49),AND(H49&gt;=1,H49&lt;=10,H49=INT(H49)),FALSE)),"O : entier de 1 à 10",IF(K49="","Détection D manquante",IF(NOT(IF(ISNUMBER(K49),AND(K49&gt;=1,K49&lt;=10,K49=INT(K49)),FALSE)),"D : entier de 1 à 10",IF(G49="","Cause manquante",IF(AND(O49&lt;&gt;"",P49=""),"Responsable manquant",IF(AND(R49&lt;&gt;"",O49=""),"Statut sans action",IF(AND(R49="Réalisée",N(S49)=0),"Date de réalisation manquante",IF(AND(T49&lt;&gt;"",IF(ISNUMBER(T49),T49&lt;0,TRUE)),"Coût invalide",IF(AND(COUNTBLANK(U49:W49)&gt;0,COUNTBLANK(U49:W49)&lt;3),"Cotation après action incomplète",IF(AND(COUNTBLANK(U49:W49)=0,X49=""),"G', O', D' : entiers de 1 à 10",IF(AND(X49&lt;&gt;"",X49&gt;L49),"IPR après action plus élevé","OK")))))))))))))))))</f>
        <v/>
      </c>
      <c r="AC49" s="59" t="str">
        <f>IF(OR(AA49="En retard",AA49="Échéance proche",AA49="Dans les délais",AA49="Échéance manquante",AA49="Action à définir",AA49="À réévaluer"),IF(OR(plan_who="",P49=plan_who),IF(N(Q49)&gt;0,Q49,99999)*1000+ROW(),""),"")</f>
        <v/>
      </c>
      <c r="AD49" s="59" t="str">
        <f>IF(L49="","",L49*1000+1000-ROW())</f>
        <v/>
      </c>
      <c r="AE49" s="59" t="str">
        <f>IF(IF(AA49="En retard",1,IF(AA49="Action à définir",2,IF(AA49="Échéance manquante",3,IF(AA49="Échéance proche",4,IF(AA49="À réévaluer",5,0)))))=0,"",IF(AA49="En retard",1,IF(AA49="Action à définir",2,IF(AA49="Échéance manquante",3,IF(AA49="Échéance proche",4,IF(AA49="À réévaluer",5,0)))))*100000000+IF(N(Q49)&gt;0,Q49,99999)*1000+ROW())</f>
        <v/>
      </c>
      <c r="AF49" s="59" t="str">
        <f>IF(X49&lt;&gt;"",X49,L49)</f>
        <v/>
      </c>
      <c r="AG49" s="59" t="str">
        <f>IF(X49&lt;&gt;"",Y49,IF(L49&lt;&gt;"",M49,""))</f>
        <v/>
      </c>
      <c r="AH49" s="59" t="str">
        <f>IF(L49="","",IF(X49&lt;&gt;"",U49,F49))</f>
        <v/>
      </c>
      <c r="AI49" s="59" t="str">
        <f>IF(L49="","",IF(X49&lt;&gt;"",V49,H49))</f>
        <v/>
      </c>
    </row>
    <row r="50" ht="30" customHeight="1">
      <c r="A50" s="50" t="n"/>
      <c r="B50" s="51" t="n"/>
      <c r="C50" s="51" t="n"/>
      <c r="D50" s="51" t="n"/>
      <c r="E50" s="51" t="n"/>
      <c r="F50" s="52" t="n"/>
      <c r="G50" s="51" t="n"/>
      <c r="H50" s="52" t="n"/>
      <c r="I50" s="51" t="n"/>
      <c r="J50" s="51" t="n"/>
      <c r="K50" s="52" t="n"/>
      <c r="L50" s="53" t="str">
        <f>IF(AND(IF(ISNUMBER(F50),AND(F50&gt;=1,F50&lt;=10,F50=INT(F50)),FALSE),IF(ISNUMBER(H50),AND(H50&gt;=1,H50&lt;=10,H50=INT(H50)),FALSE),IF(ISNUMBER(K50),AND(K50&gt;=1,K50&lt;=10,K50=INT(K50)),FALSE)),F50*H50*K50,"")</f>
        <v/>
      </c>
      <c r="M50" s="54" t="str">
        <f>IF(L50="",IF(D50="","","À coter"),IF(OR(F50&gt;=p_gmin,L50&gt;=p_ipr_crit),"Critique",IF(L50&gt;=p_ipr_act,"Élevée",IF(L50&gt;=p_ipr_watch,"Moyenne","Faible"))))</f>
        <v/>
      </c>
      <c r="N50" s="54" t="str">
        <f>IF(OR(M50="",M50="À coter"),"",IF(OR(M50="Critique",M50="Élevée"),"Oui","Non"))</f>
        <v/>
      </c>
      <c r="O50" s="51" t="n"/>
      <c r="P50" s="51" t="n"/>
      <c r="Q50" s="55" t="n"/>
      <c r="R50" s="50" t="n"/>
      <c r="S50" s="55" t="n"/>
      <c r="T50" s="56" t="n"/>
      <c r="U50" s="52" t="n"/>
      <c r="V50" s="52" t="n"/>
      <c r="W50" s="52" t="n"/>
      <c r="X50" s="53" t="str">
        <f>IF(AND(L50&lt;&gt;"",IF(ISNUMBER(U50),AND(U50&gt;=1,U50&lt;=10,U50=INT(U50)),FALSE),IF(ISNUMBER(V50),AND(V50&gt;=1,V50&lt;=10,V50=INT(V50)),FALSE),IF(ISNUMBER(W50),AND(W50&gt;=1,W50&lt;=10,W50=INT(W50)),FALSE)),U50*V50*W50,"")</f>
        <v/>
      </c>
      <c r="Y50" s="54" t="str">
        <f>IF(X50="","",IF(OR(U50&gt;=p_gmin,X50&gt;=p_ipr_crit),"Critique",IF(X50&gt;=p_ipr_act,"Élevée",IF(X50&gt;=p_ipr_watch,"Moyenne","Faible"))))</f>
        <v/>
      </c>
      <c r="Z50" s="57" t="str">
        <f>IF(X50="","",(L50-X50)/L50)</f>
        <v/>
      </c>
      <c r="AA50" s="54" t="str">
        <f>IF(AND(D50="",O50=""),"",IF(O50="",IF(N50="Oui","Action à définir",IF(N50="Non","Sans action","")),IF(R50="Annulée","Annulée",IF(R50="Réalisée",IF(X50="","À réévaluer","Réalisée"),IF(N(Q50)=0,"Échéance manquante",IF(Q50&lt;p_today,"En retard",IF(Q50-p_today&lt;=p_alert,"Échéance proche","Dans les délais")))))))</f>
        <v/>
      </c>
      <c r="AB50" s="58" t="str">
        <f>IF(AND(A50="",B50="",D50="",F50="",H50="",K50="",O50=""),"",IF(D50="","Mode de défaillance manquant",IF(AND(A50&lt;&gt;"",COUNTIF(am_num,A50)&gt;1),"N° en double",IF(F50="","Gravité G manquante",IF(NOT(IF(ISNUMBER(F50),AND(F50&gt;=1,F50&lt;=10,F50=INT(F50)),FALSE)),"G : entier de 1 à 10",IF(H50="","Occurrence O manquante",IF(NOT(IF(ISNUMBER(H50),AND(H50&gt;=1,H50&lt;=10,H50=INT(H50)),FALSE)),"O : entier de 1 à 10",IF(K50="","Détection D manquante",IF(NOT(IF(ISNUMBER(K50),AND(K50&gt;=1,K50&lt;=10,K50=INT(K50)),FALSE)),"D : entier de 1 à 10",IF(G50="","Cause manquante",IF(AND(O50&lt;&gt;"",P50=""),"Responsable manquant",IF(AND(R50&lt;&gt;"",O50=""),"Statut sans action",IF(AND(R50="Réalisée",N(S50)=0),"Date de réalisation manquante",IF(AND(T50&lt;&gt;"",IF(ISNUMBER(T50),T50&lt;0,TRUE)),"Coût invalide",IF(AND(COUNTBLANK(U50:W50)&gt;0,COUNTBLANK(U50:W50)&lt;3),"Cotation après action incomplète",IF(AND(COUNTBLANK(U50:W50)=0,X50=""),"G', O', D' : entiers de 1 à 10",IF(AND(X50&lt;&gt;"",X50&gt;L50),"IPR après action plus élevé","OK")))))))))))))))))</f>
        <v/>
      </c>
      <c r="AC50" s="59" t="str">
        <f>IF(OR(AA50="En retard",AA50="Échéance proche",AA50="Dans les délais",AA50="Échéance manquante",AA50="Action à définir",AA50="À réévaluer"),IF(OR(plan_who="",P50=plan_who),IF(N(Q50)&gt;0,Q50,99999)*1000+ROW(),""),"")</f>
        <v/>
      </c>
      <c r="AD50" s="59" t="str">
        <f>IF(L50="","",L50*1000+1000-ROW())</f>
        <v/>
      </c>
      <c r="AE50" s="59" t="str">
        <f>IF(IF(AA50="En retard",1,IF(AA50="Action à définir",2,IF(AA50="Échéance manquante",3,IF(AA50="Échéance proche",4,IF(AA50="À réévaluer",5,0)))))=0,"",IF(AA50="En retard",1,IF(AA50="Action à définir",2,IF(AA50="Échéance manquante",3,IF(AA50="Échéance proche",4,IF(AA50="À réévaluer",5,0)))))*100000000+IF(N(Q50)&gt;0,Q50,99999)*1000+ROW())</f>
        <v/>
      </c>
      <c r="AF50" s="59" t="str">
        <f>IF(X50&lt;&gt;"",X50,L50)</f>
        <v/>
      </c>
      <c r="AG50" s="59" t="str">
        <f>IF(X50&lt;&gt;"",Y50,IF(L50&lt;&gt;"",M50,""))</f>
        <v/>
      </c>
      <c r="AH50" s="59" t="str">
        <f>IF(L50="","",IF(X50&lt;&gt;"",U50,F50))</f>
        <v/>
      </c>
      <c r="AI50" s="59" t="str">
        <f>IF(L50="","",IF(X50&lt;&gt;"",V50,H50))</f>
        <v/>
      </c>
    </row>
    <row r="51" ht="30" customHeight="1">
      <c r="A51" s="50" t="n"/>
      <c r="B51" s="51" t="n"/>
      <c r="C51" s="51" t="n"/>
      <c r="D51" s="51" t="n"/>
      <c r="E51" s="51" t="n"/>
      <c r="F51" s="52" t="n"/>
      <c r="G51" s="51" t="n"/>
      <c r="H51" s="52" t="n"/>
      <c r="I51" s="51" t="n"/>
      <c r="J51" s="51" t="n"/>
      <c r="K51" s="52" t="n"/>
      <c r="L51" s="53" t="str">
        <f>IF(AND(IF(ISNUMBER(F51),AND(F51&gt;=1,F51&lt;=10,F51=INT(F51)),FALSE),IF(ISNUMBER(H51),AND(H51&gt;=1,H51&lt;=10,H51=INT(H51)),FALSE),IF(ISNUMBER(K51),AND(K51&gt;=1,K51&lt;=10,K51=INT(K51)),FALSE)),F51*H51*K51,"")</f>
        <v/>
      </c>
      <c r="M51" s="54" t="str">
        <f>IF(L51="",IF(D51="","","À coter"),IF(OR(F51&gt;=p_gmin,L51&gt;=p_ipr_crit),"Critique",IF(L51&gt;=p_ipr_act,"Élevée",IF(L51&gt;=p_ipr_watch,"Moyenne","Faible"))))</f>
        <v/>
      </c>
      <c r="N51" s="54" t="str">
        <f>IF(OR(M51="",M51="À coter"),"",IF(OR(M51="Critique",M51="Élevée"),"Oui","Non"))</f>
        <v/>
      </c>
      <c r="O51" s="51" t="n"/>
      <c r="P51" s="51" t="n"/>
      <c r="Q51" s="55" t="n"/>
      <c r="R51" s="50" t="n"/>
      <c r="S51" s="55" t="n"/>
      <c r="T51" s="56" t="n"/>
      <c r="U51" s="52" t="n"/>
      <c r="V51" s="52" t="n"/>
      <c r="W51" s="52" t="n"/>
      <c r="X51" s="53" t="str">
        <f>IF(AND(L51&lt;&gt;"",IF(ISNUMBER(U51),AND(U51&gt;=1,U51&lt;=10,U51=INT(U51)),FALSE),IF(ISNUMBER(V51),AND(V51&gt;=1,V51&lt;=10,V51=INT(V51)),FALSE),IF(ISNUMBER(W51),AND(W51&gt;=1,W51&lt;=10,W51=INT(W51)),FALSE)),U51*V51*W51,"")</f>
        <v/>
      </c>
      <c r="Y51" s="54" t="str">
        <f>IF(X51="","",IF(OR(U51&gt;=p_gmin,X51&gt;=p_ipr_crit),"Critique",IF(X51&gt;=p_ipr_act,"Élevée",IF(X51&gt;=p_ipr_watch,"Moyenne","Faible"))))</f>
        <v/>
      </c>
      <c r="Z51" s="57" t="str">
        <f>IF(X51="","",(L51-X51)/L51)</f>
        <v/>
      </c>
      <c r="AA51" s="54" t="str">
        <f>IF(AND(D51="",O51=""),"",IF(O51="",IF(N51="Oui","Action à définir",IF(N51="Non","Sans action","")),IF(R51="Annulée","Annulée",IF(R51="Réalisée",IF(X51="","À réévaluer","Réalisée"),IF(N(Q51)=0,"Échéance manquante",IF(Q51&lt;p_today,"En retard",IF(Q51-p_today&lt;=p_alert,"Échéance proche","Dans les délais")))))))</f>
        <v/>
      </c>
      <c r="AB51" s="58" t="str">
        <f>IF(AND(A51="",B51="",D51="",F51="",H51="",K51="",O51=""),"",IF(D51="","Mode de défaillance manquant",IF(AND(A51&lt;&gt;"",COUNTIF(am_num,A51)&gt;1),"N° en double",IF(F51="","Gravité G manquante",IF(NOT(IF(ISNUMBER(F51),AND(F51&gt;=1,F51&lt;=10,F51=INT(F51)),FALSE)),"G : entier de 1 à 10",IF(H51="","Occurrence O manquante",IF(NOT(IF(ISNUMBER(H51),AND(H51&gt;=1,H51&lt;=10,H51=INT(H51)),FALSE)),"O : entier de 1 à 10",IF(K51="","Détection D manquante",IF(NOT(IF(ISNUMBER(K51),AND(K51&gt;=1,K51&lt;=10,K51=INT(K51)),FALSE)),"D : entier de 1 à 10",IF(G51="","Cause manquante",IF(AND(O51&lt;&gt;"",P51=""),"Responsable manquant",IF(AND(R51&lt;&gt;"",O51=""),"Statut sans action",IF(AND(R51="Réalisée",N(S51)=0),"Date de réalisation manquante",IF(AND(T51&lt;&gt;"",IF(ISNUMBER(T51),T51&lt;0,TRUE)),"Coût invalide",IF(AND(COUNTBLANK(U51:W51)&gt;0,COUNTBLANK(U51:W51)&lt;3),"Cotation après action incomplète",IF(AND(COUNTBLANK(U51:W51)=0,X51=""),"G', O', D' : entiers de 1 à 10",IF(AND(X51&lt;&gt;"",X51&gt;L51),"IPR après action plus élevé","OK")))))))))))))))))</f>
        <v/>
      </c>
      <c r="AC51" s="59" t="str">
        <f>IF(OR(AA51="En retard",AA51="Échéance proche",AA51="Dans les délais",AA51="Échéance manquante",AA51="Action à définir",AA51="À réévaluer"),IF(OR(plan_who="",P51=plan_who),IF(N(Q51)&gt;0,Q51,99999)*1000+ROW(),""),"")</f>
        <v/>
      </c>
      <c r="AD51" s="59" t="str">
        <f>IF(L51="","",L51*1000+1000-ROW())</f>
        <v/>
      </c>
      <c r="AE51" s="59" t="str">
        <f>IF(IF(AA51="En retard",1,IF(AA51="Action à définir",2,IF(AA51="Échéance manquante",3,IF(AA51="Échéance proche",4,IF(AA51="À réévaluer",5,0)))))=0,"",IF(AA51="En retard",1,IF(AA51="Action à définir",2,IF(AA51="Échéance manquante",3,IF(AA51="Échéance proche",4,IF(AA51="À réévaluer",5,0)))))*100000000+IF(N(Q51)&gt;0,Q51,99999)*1000+ROW())</f>
        <v/>
      </c>
      <c r="AF51" s="59" t="str">
        <f>IF(X51&lt;&gt;"",X51,L51)</f>
        <v/>
      </c>
      <c r="AG51" s="59" t="str">
        <f>IF(X51&lt;&gt;"",Y51,IF(L51&lt;&gt;"",M51,""))</f>
        <v/>
      </c>
      <c r="AH51" s="59" t="str">
        <f>IF(L51="","",IF(X51&lt;&gt;"",U51,F51))</f>
        <v/>
      </c>
      <c r="AI51" s="59" t="str">
        <f>IF(L51="","",IF(X51&lt;&gt;"",V51,H51))</f>
        <v/>
      </c>
    </row>
    <row r="52" ht="30" customHeight="1">
      <c r="A52" s="50" t="n"/>
      <c r="B52" s="51" t="n"/>
      <c r="C52" s="51" t="n"/>
      <c r="D52" s="51" t="n"/>
      <c r="E52" s="51" t="n"/>
      <c r="F52" s="52" t="n"/>
      <c r="G52" s="51" t="n"/>
      <c r="H52" s="52" t="n"/>
      <c r="I52" s="51" t="n"/>
      <c r="J52" s="51" t="n"/>
      <c r="K52" s="52" t="n"/>
      <c r="L52" s="53" t="str">
        <f>IF(AND(IF(ISNUMBER(F52),AND(F52&gt;=1,F52&lt;=10,F52=INT(F52)),FALSE),IF(ISNUMBER(H52),AND(H52&gt;=1,H52&lt;=10,H52=INT(H52)),FALSE),IF(ISNUMBER(K52),AND(K52&gt;=1,K52&lt;=10,K52=INT(K52)),FALSE)),F52*H52*K52,"")</f>
        <v/>
      </c>
      <c r="M52" s="54" t="str">
        <f>IF(L52="",IF(D52="","","À coter"),IF(OR(F52&gt;=p_gmin,L52&gt;=p_ipr_crit),"Critique",IF(L52&gt;=p_ipr_act,"Élevée",IF(L52&gt;=p_ipr_watch,"Moyenne","Faible"))))</f>
        <v/>
      </c>
      <c r="N52" s="54" t="str">
        <f>IF(OR(M52="",M52="À coter"),"",IF(OR(M52="Critique",M52="Élevée"),"Oui","Non"))</f>
        <v/>
      </c>
      <c r="O52" s="51" t="n"/>
      <c r="P52" s="51" t="n"/>
      <c r="Q52" s="55" t="n"/>
      <c r="R52" s="50" t="n"/>
      <c r="S52" s="55" t="n"/>
      <c r="T52" s="56" t="n"/>
      <c r="U52" s="52" t="n"/>
      <c r="V52" s="52" t="n"/>
      <c r="W52" s="52" t="n"/>
      <c r="X52" s="53" t="str">
        <f>IF(AND(L52&lt;&gt;"",IF(ISNUMBER(U52),AND(U52&gt;=1,U52&lt;=10,U52=INT(U52)),FALSE),IF(ISNUMBER(V52),AND(V52&gt;=1,V52&lt;=10,V52=INT(V52)),FALSE),IF(ISNUMBER(W52),AND(W52&gt;=1,W52&lt;=10,W52=INT(W52)),FALSE)),U52*V52*W52,"")</f>
        <v/>
      </c>
      <c r="Y52" s="54" t="str">
        <f>IF(X52="","",IF(OR(U52&gt;=p_gmin,X52&gt;=p_ipr_crit),"Critique",IF(X52&gt;=p_ipr_act,"Élevée",IF(X52&gt;=p_ipr_watch,"Moyenne","Faible"))))</f>
        <v/>
      </c>
      <c r="Z52" s="57" t="str">
        <f>IF(X52="","",(L52-X52)/L52)</f>
        <v/>
      </c>
      <c r="AA52" s="54" t="str">
        <f>IF(AND(D52="",O52=""),"",IF(O52="",IF(N52="Oui","Action à définir",IF(N52="Non","Sans action","")),IF(R52="Annulée","Annulée",IF(R52="Réalisée",IF(X52="","À réévaluer","Réalisée"),IF(N(Q52)=0,"Échéance manquante",IF(Q52&lt;p_today,"En retard",IF(Q52-p_today&lt;=p_alert,"Échéance proche","Dans les délais")))))))</f>
        <v/>
      </c>
      <c r="AB52" s="58" t="str">
        <f>IF(AND(A52="",B52="",D52="",F52="",H52="",K52="",O52=""),"",IF(D52="","Mode de défaillance manquant",IF(AND(A52&lt;&gt;"",COUNTIF(am_num,A52)&gt;1),"N° en double",IF(F52="","Gravité G manquante",IF(NOT(IF(ISNUMBER(F52),AND(F52&gt;=1,F52&lt;=10,F52=INT(F52)),FALSE)),"G : entier de 1 à 10",IF(H52="","Occurrence O manquante",IF(NOT(IF(ISNUMBER(H52),AND(H52&gt;=1,H52&lt;=10,H52=INT(H52)),FALSE)),"O : entier de 1 à 10",IF(K52="","Détection D manquante",IF(NOT(IF(ISNUMBER(K52),AND(K52&gt;=1,K52&lt;=10,K52=INT(K52)),FALSE)),"D : entier de 1 à 10",IF(G52="","Cause manquante",IF(AND(O52&lt;&gt;"",P52=""),"Responsable manquant",IF(AND(R52&lt;&gt;"",O52=""),"Statut sans action",IF(AND(R52="Réalisée",N(S52)=0),"Date de réalisation manquante",IF(AND(T52&lt;&gt;"",IF(ISNUMBER(T52),T52&lt;0,TRUE)),"Coût invalide",IF(AND(COUNTBLANK(U52:W52)&gt;0,COUNTBLANK(U52:W52)&lt;3),"Cotation après action incomplète",IF(AND(COUNTBLANK(U52:W52)=0,X52=""),"G', O', D' : entiers de 1 à 10",IF(AND(X52&lt;&gt;"",X52&gt;L52),"IPR après action plus élevé","OK")))))))))))))))))</f>
        <v/>
      </c>
      <c r="AC52" s="59" t="str">
        <f>IF(OR(AA52="En retard",AA52="Échéance proche",AA52="Dans les délais",AA52="Échéance manquante",AA52="Action à définir",AA52="À réévaluer"),IF(OR(plan_who="",P52=plan_who),IF(N(Q52)&gt;0,Q52,99999)*1000+ROW(),""),"")</f>
        <v/>
      </c>
      <c r="AD52" s="59" t="str">
        <f>IF(L52="","",L52*1000+1000-ROW())</f>
        <v/>
      </c>
      <c r="AE52" s="59" t="str">
        <f>IF(IF(AA52="En retard",1,IF(AA52="Action à définir",2,IF(AA52="Échéance manquante",3,IF(AA52="Échéance proche",4,IF(AA52="À réévaluer",5,0)))))=0,"",IF(AA52="En retard",1,IF(AA52="Action à définir",2,IF(AA52="Échéance manquante",3,IF(AA52="Échéance proche",4,IF(AA52="À réévaluer",5,0)))))*100000000+IF(N(Q52)&gt;0,Q52,99999)*1000+ROW())</f>
        <v/>
      </c>
      <c r="AF52" s="59" t="str">
        <f>IF(X52&lt;&gt;"",X52,L52)</f>
        <v/>
      </c>
      <c r="AG52" s="59" t="str">
        <f>IF(X52&lt;&gt;"",Y52,IF(L52&lt;&gt;"",M52,""))</f>
        <v/>
      </c>
      <c r="AH52" s="59" t="str">
        <f>IF(L52="","",IF(X52&lt;&gt;"",U52,F52))</f>
        <v/>
      </c>
      <c r="AI52" s="59" t="str">
        <f>IF(L52="","",IF(X52&lt;&gt;"",V52,H52))</f>
        <v/>
      </c>
    </row>
    <row r="53" ht="30" customHeight="1">
      <c r="A53" s="50" t="n"/>
      <c r="B53" s="51" t="n"/>
      <c r="C53" s="51" t="n"/>
      <c r="D53" s="51" t="n"/>
      <c r="E53" s="51" t="n"/>
      <c r="F53" s="52" t="n"/>
      <c r="G53" s="51" t="n"/>
      <c r="H53" s="52" t="n"/>
      <c r="I53" s="51" t="n"/>
      <c r="J53" s="51" t="n"/>
      <c r="K53" s="52" t="n"/>
      <c r="L53" s="53" t="str">
        <f>IF(AND(IF(ISNUMBER(F53),AND(F53&gt;=1,F53&lt;=10,F53=INT(F53)),FALSE),IF(ISNUMBER(H53),AND(H53&gt;=1,H53&lt;=10,H53=INT(H53)),FALSE),IF(ISNUMBER(K53),AND(K53&gt;=1,K53&lt;=10,K53=INT(K53)),FALSE)),F53*H53*K53,"")</f>
        <v/>
      </c>
      <c r="M53" s="54" t="str">
        <f>IF(L53="",IF(D53="","","À coter"),IF(OR(F53&gt;=p_gmin,L53&gt;=p_ipr_crit),"Critique",IF(L53&gt;=p_ipr_act,"Élevée",IF(L53&gt;=p_ipr_watch,"Moyenne","Faible"))))</f>
        <v/>
      </c>
      <c r="N53" s="54" t="str">
        <f>IF(OR(M53="",M53="À coter"),"",IF(OR(M53="Critique",M53="Élevée"),"Oui","Non"))</f>
        <v/>
      </c>
      <c r="O53" s="51" t="n"/>
      <c r="P53" s="51" t="n"/>
      <c r="Q53" s="55" t="n"/>
      <c r="R53" s="50" t="n"/>
      <c r="S53" s="55" t="n"/>
      <c r="T53" s="56" t="n"/>
      <c r="U53" s="52" t="n"/>
      <c r="V53" s="52" t="n"/>
      <c r="W53" s="52" t="n"/>
      <c r="X53" s="53" t="str">
        <f>IF(AND(L53&lt;&gt;"",IF(ISNUMBER(U53),AND(U53&gt;=1,U53&lt;=10,U53=INT(U53)),FALSE),IF(ISNUMBER(V53),AND(V53&gt;=1,V53&lt;=10,V53=INT(V53)),FALSE),IF(ISNUMBER(W53),AND(W53&gt;=1,W53&lt;=10,W53=INT(W53)),FALSE)),U53*V53*W53,"")</f>
        <v/>
      </c>
      <c r="Y53" s="54" t="str">
        <f>IF(X53="","",IF(OR(U53&gt;=p_gmin,X53&gt;=p_ipr_crit),"Critique",IF(X53&gt;=p_ipr_act,"Élevée",IF(X53&gt;=p_ipr_watch,"Moyenne","Faible"))))</f>
        <v/>
      </c>
      <c r="Z53" s="57" t="str">
        <f>IF(X53="","",(L53-X53)/L53)</f>
        <v/>
      </c>
      <c r="AA53" s="54" t="str">
        <f>IF(AND(D53="",O53=""),"",IF(O53="",IF(N53="Oui","Action à définir",IF(N53="Non","Sans action","")),IF(R53="Annulée","Annulée",IF(R53="Réalisée",IF(X53="","À réévaluer","Réalisée"),IF(N(Q53)=0,"Échéance manquante",IF(Q53&lt;p_today,"En retard",IF(Q53-p_today&lt;=p_alert,"Échéance proche","Dans les délais")))))))</f>
        <v/>
      </c>
      <c r="AB53" s="58" t="str">
        <f>IF(AND(A53="",B53="",D53="",F53="",H53="",K53="",O53=""),"",IF(D53="","Mode de défaillance manquant",IF(AND(A53&lt;&gt;"",COUNTIF(am_num,A53)&gt;1),"N° en double",IF(F53="","Gravité G manquante",IF(NOT(IF(ISNUMBER(F53),AND(F53&gt;=1,F53&lt;=10,F53=INT(F53)),FALSE)),"G : entier de 1 à 10",IF(H53="","Occurrence O manquante",IF(NOT(IF(ISNUMBER(H53),AND(H53&gt;=1,H53&lt;=10,H53=INT(H53)),FALSE)),"O : entier de 1 à 10",IF(K53="","Détection D manquante",IF(NOT(IF(ISNUMBER(K53),AND(K53&gt;=1,K53&lt;=10,K53=INT(K53)),FALSE)),"D : entier de 1 à 10",IF(G53="","Cause manquante",IF(AND(O53&lt;&gt;"",P53=""),"Responsable manquant",IF(AND(R53&lt;&gt;"",O53=""),"Statut sans action",IF(AND(R53="Réalisée",N(S53)=0),"Date de réalisation manquante",IF(AND(T53&lt;&gt;"",IF(ISNUMBER(T53),T53&lt;0,TRUE)),"Coût invalide",IF(AND(COUNTBLANK(U53:W53)&gt;0,COUNTBLANK(U53:W53)&lt;3),"Cotation après action incomplète",IF(AND(COUNTBLANK(U53:W53)=0,X53=""),"G', O', D' : entiers de 1 à 10",IF(AND(X53&lt;&gt;"",X53&gt;L53),"IPR après action plus élevé","OK")))))))))))))))))</f>
        <v/>
      </c>
      <c r="AC53" s="59" t="str">
        <f>IF(OR(AA53="En retard",AA53="Échéance proche",AA53="Dans les délais",AA53="Échéance manquante",AA53="Action à définir",AA53="À réévaluer"),IF(OR(plan_who="",P53=plan_who),IF(N(Q53)&gt;0,Q53,99999)*1000+ROW(),""),"")</f>
        <v/>
      </c>
      <c r="AD53" s="59" t="str">
        <f>IF(L53="","",L53*1000+1000-ROW())</f>
        <v/>
      </c>
      <c r="AE53" s="59" t="str">
        <f>IF(IF(AA53="En retard",1,IF(AA53="Action à définir",2,IF(AA53="Échéance manquante",3,IF(AA53="Échéance proche",4,IF(AA53="À réévaluer",5,0)))))=0,"",IF(AA53="En retard",1,IF(AA53="Action à définir",2,IF(AA53="Échéance manquante",3,IF(AA53="Échéance proche",4,IF(AA53="À réévaluer",5,0)))))*100000000+IF(N(Q53)&gt;0,Q53,99999)*1000+ROW())</f>
        <v/>
      </c>
      <c r="AF53" s="59" t="str">
        <f>IF(X53&lt;&gt;"",X53,L53)</f>
        <v/>
      </c>
      <c r="AG53" s="59" t="str">
        <f>IF(X53&lt;&gt;"",Y53,IF(L53&lt;&gt;"",M53,""))</f>
        <v/>
      </c>
      <c r="AH53" s="59" t="str">
        <f>IF(L53="","",IF(X53&lt;&gt;"",U53,F53))</f>
        <v/>
      </c>
      <c r="AI53" s="59" t="str">
        <f>IF(L53="","",IF(X53&lt;&gt;"",V53,H53))</f>
        <v/>
      </c>
    </row>
    <row r="54" ht="30" customHeight="1">
      <c r="A54" s="50" t="n"/>
      <c r="B54" s="51" t="n"/>
      <c r="C54" s="51" t="n"/>
      <c r="D54" s="51" t="n"/>
      <c r="E54" s="51" t="n"/>
      <c r="F54" s="52" t="n"/>
      <c r="G54" s="51" t="n"/>
      <c r="H54" s="52" t="n"/>
      <c r="I54" s="51" t="n"/>
      <c r="J54" s="51" t="n"/>
      <c r="K54" s="52" t="n"/>
      <c r="L54" s="53" t="str">
        <f>IF(AND(IF(ISNUMBER(F54),AND(F54&gt;=1,F54&lt;=10,F54=INT(F54)),FALSE),IF(ISNUMBER(H54),AND(H54&gt;=1,H54&lt;=10,H54=INT(H54)),FALSE),IF(ISNUMBER(K54),AND(K54&gt;=1,K54&lt;=10,K54=INT(K54)),FALSE)),F54*H54*K54,"")</f>
        <v/>
      </c>
      <c r="M54" s="54" t="str">
        <f>IF(L54="",IF(D54="","","À coter"),IF(OR(F54&gt;=p_gmin,L54&gt;=p_ipr_crit),"Critique",IF(L54&gt;=p_ipr_act,"Élevée",IF(L54&gt;=p_ipr_watch,"Moyenne","Faible"))))</f>
        <v/>
      </c>
      <c r="N54" s="54" t="str">
        <f>IF(OR(M54="",M54="À coter"),"",IF(OR(M54="Critique",M54="Élevée"),"Oui","Non"))</f>
        <v/>
      </c>
      <c r="O54" s="51" t="n"/>
      <c r="P54" s="51" t="n"/>
      <c r="Q54" s="55" t="n"/>
      <c r="R54" s="50" t="n"/>
      <c r="S54" s="55" t="n"/>
      <c r="T54" s="56" t="n"/>
      <c r="U54" s="52" t="n"/>
      <c r="V54" s="52" t="n"/>
      <c r="W54" s="52" t="n"/>
      <c r="X54" s="53" t="str">
        <f>IF(AND(L54&lt;&gt;"",IF(ISNUMBER(U54),AND(U54&gt;=1,U54&lt;=10,U54=INT(U54)),FALSE),IF(ISNUMBER(V54),AND(V54&gt;=1,V54&lt;=10,V54=INT(V54)),FALSE),IF(ISNUMBER(W54),AND(W54&gt;=1,W54&lt;=10,W54=INT(W54)),FALSE)),U54*V54*W54,"")</f>
        <v/>
      </c>
      <c r="Y54" s="54" t="str">
        <f>IF(X54="","",IF(OR(U54&gt;=p_gmin,X54&gt;=p_ipr_crit),"Critique",IF(X54&gt;=p_ipr_act,"Élevée",IF(X54&gt;=p_ipr_watch,"Moyenne","Faible"))))</f>
        <v/>
      </c>
      <c r="Z54" s="57" t="str">
        <f>IF(X54="","",(L54-X54)/L54)</f>
        <v/>
      </c>
      <c r="AA54" s="54" t="str">
        <f>IF(AND(D54="",O54=""),"",IF(O54="",IF(N54="Oui","Action à définir",IF(N54="Non","Sans action","")),IF(R54="Annulée","Annulée",IF(R54="Réalisée",IF(X54="","À réévaluer","Réalisée"),IF(N(Q54)=0,"Échéance manquante",IF(Q54&lt;p_today,"En retard",IF(Q54-p_today&lt;=p_alert,"Échéance proche","Dans les délais")))))))</f>
        <v/>
      </c>
      <c r="AB54" s="58" t="str">
        <f>IF(AND(A54="",B54="",D54="",F54="",H54="",K54="",O54=""),"",IF(D54="","Mode de défaillance manquant",IF(AND(A54&lt;&gt;"",COUNTIF(am_num,A54)&gt;1),"N° en double",IF(F54="","Gravité G manquante",IF(NOT(IF(ISNUMBER(F54),AND(F54&gt;=1,F54&lt;=10,F54=INT(F54)),FALSE)),"G : entier de 1 à 10",IF(H54="","Occurrence O manquante",IF(NOT(IF(ISNUMBER(H54),AND(H54&gt;=1,H54&lt;=10,H54=INT(H54)),FALSE)),"O : entier de 1 à 10",IF(K54="","Détection D manquante",IF(NOT(IF(ISNUMBER(K54),AND(K54&gt;=1,K54&lt;=10,K54=INT(K54)),FALSE)),"D : entier de 1 à 10",IF(G54="","Cause manquante",IF(AND(O54&lt;&gt;"",P54=""),"Responsable manquant",IF(AND(R54&lt;&gt;"",O54=""),"Statut sans action",IF(AND(R54="Réalisée",N(S54)=0),"Date de réalisation manquante",IF(AND(T54&lt;&gt;"",IF(ISNUMBER(T54),T54&lt;0,TRUE)),"Coût invalide",IF(AND(COUNTBLANK(U54:W54)&gt;0,COUNTBLANK(U54:W54)&lt;3),"Cotation après action incomplète",IF(AND(COUNTBLANK(U54:W54)=0,X54=""),"G', O', D' : entiers de 1 à 10",IF(AND(X54&lt;&gt;"",X54&gt;L54),"IPR après action plus élevé","OK")))))))))))))))))</f>
        <v/>
      </c>
      <c r="AC54" s="59" t="str">
        <f>IF(OR(AA54="En retard",AA54="Échéance proche",AA54="Dans les délais",AA54="Échéance manquante",AA54="Action à définir",AA54="À réévaluer"),IF(OR(plan_who="",P54=plan_who),IF(N(Q54)&gt;0,Q54,99999)*1000+ROW(),""),"")</f>
        <v/>
      </c>
      <c r="AD54" s="59" t="str">
        <f>IF(L54="","",L54*1000+1000-ROW())</f>
        <v/>
      </c>
      <c r="AE54" s="59" t="str">
        <f>IF(IF(AA54="En retard",1,IF(AA54="Action à définir",2,IF(AA54="Échéance manquante",3,IF(AA54="Échéance proche",4,IF(AA54="À réévaluer",5,0)))))=0,"",IF(AA54="En retard",1,IF(AA54="Action à définir",2,IF(AA54="Échéance manquante",3,IF(AA54="Échéance proche",4,IF(AA54="À réévaluer",5,0)))))*100000000+IF(N(Q54)&gt;0,Q54,99999)*1000+ROW())</f>
        <v/>
      </c>
      <c r="AF54" s="59" t="str">
        <f>IF(X54&lt;&gt;"",X54,L54)</f>
        <v/>
      </c>
      <c r="AG54" s="59" t="str">
        <f>IF(X54&lt;&gt;"",Y54,IF(L54&lt;&gt;"",M54,""))</f>
        <v/>
      </c>
      <c r="AH54" s="59" t="str">
        <f>IF(L54="","",IF(X54&lt;&gt;"",U54,F54))</f>
        <v/>
      </c>
      <c r="AI54" s="59" t="str">
        <f>IF(L54="","",IF(X54&lt;&gt;"",V54,H54))</f>
        <v/>
      </c>
    </row>
    <row r="55" ht="30" customHeight="1">
      <c r="A55" s="50" t="n"/>
      <c r="B55" s="51" t="n"/>
      <c r="C55" s="51" t="n"/>
      <c r="D55" s="51" t="n"/>
      <c r="E55" s="51" t="n"/>
      <c r="F55" s="52" t="n"/>
      <c r="G55" s="51" t="n"/>
      <c r="H55" s="52" t="n"/>
      <c r="I55" s="51" t="n"/>
      <c r="J55" s="51" t="n"/>
      <c r="K55" s="52" t="n"/>
      <c r="L55" s="53" t="str">
        <f>IF(AND(IF(ISNUMBER(F55),AND(F55&gt;=1,F55&lt;=10,F55=INT(F55)),FALSE),IF(ISNUMBER(H55),AND(H55&gt;=1,H55&lt;=10,H55=INT(H55)),FALSE),IF(ISNUMBER(K55),AND(K55&gt;=1,K55&lt;=10,K55=INT(K55)),FALSE)),F55*H55*K55,"")</f>
        <v/>
      </c>
      <c r="M55" s="54" t="str">
        <f>IF(L55="",IF(D55="","","À coter"),IF(OR(F55&gt;=p_gmin,L55&gt;=p_ipr_crit),"Critique",IF(L55&gt;=p_ipr_act,"Élevée",IF(L55&gt;=p_ipr_watch,"Moyenne","Faible"))))</f>
        <v/>
      </c>
      <c r="N55" s="54" t="str">
        <f>IF(OR(M55="",M55="À coter"),"",IF(OR(M55="Critique",M55="Élevée"),"Oui","Non"))</f>
        <v/>
      </c>
      <c r="O55" s="51" t="n"/>
      <c r="P55" s="51" t="n"/>
      <c r="Q55" s="55" t="n"/>
      <c r="R55" s="50" t="n"/>
      <c r="S55" s="55" t="n"/>
      <c r="T55" s="56" t="n"/>
      <c r="U55" s="52" t="n"/>
      <c r="V55" s="52" t="n"/>
      <c r="W55" s="52" t="n"/>
      <c r="X55" s="53" t="str">
        <f>IF(AND(L55&lt;&gt;"",IF(ISNUMBER(U55),AND(U55&gt;=1,U55&lt;=10,U55=INT(U55)),FALSE),IF(ISNUMBER(V55),AND(V55&gt;=1,V55&lt;=10,V55=INT(V55)),FALSE),IF(ISNUMBER(W55),AND(W55&gt;=1,W55&lt;=10,W55=INT(W55)),FALSE)),U55*V55*W55,"")</f>
        <v/>
      </c>
      <c r="Y55" s="54" t="str">
        <f>IF(X55="","",IF(OR(U55&gt;=p_gmin,X55&gt;=p_ipr_crit),"Critique",IF(X55&gt;=p_ipr_act,"Élevée",IF(X55&gt;=p_ipr_watch,"Moyenne","Faible"))))</f>
        <v/>
      </c>
      <c r="Z55" s="57" t="str">
        <f>IF(X55="","",(L55-X55)/L55)</f>
        <v/>
      </c>
      <c r="AA55" s="54" t="str">
        <f>IF(AND(D55="",O55=""),"",IF(O55="",IF(N55="Oui","Action à définir",IF(N55="Non","Sans action","")),IF(R55="Annulée","Annulée",IF(R55="Réalisée",IF(X55="","À réévaluer","Réalisée"),IF(N(Q55)=0,"Échéance manquante",IF(Q55&lt;p_today,"En retard",IF(Q55-p_today&lt;=p_alert,"Échéance proche","Dans les délais")))))))</f>
        <v/>
      </c>
      <c r="AB55" s="58" t="str">
        <f>IF(AND(A55="",B55="",D55="",F55="",H55="",K55="",O55=""),"",IF(D55="","Mode de défaillance manquant",IF(AND(A55&lt;&gt;"",COUNTIF(am_num,A55)&gt;1),"N° en double",IF(F55="","Gravité G manquante",IF(NOT(IF(ISNUMBER(F55),AND(F55&gt;=1,F55&lt;=10,F55=INT(F55)),FALSE)),"G : entier de 1 à 10",IF(H55="","Occurrence O manquante",IF(NOT(IF(ISNUMBER(H55),AND(H55&gt;=1,H55&lt;=10,H55=INT(H55)),FALSE)),"O : entier de 1 à 10",IF(K55="","Détection D manquante",IF(NOT(IF(ISNUMBER(K55),AND(K55&gt;=1,K55&lt;=10,K55=INT(K55)),FALSE)),"D : entier de 1 à 10",IF(G55="","Cause manquante",IF(AND(O55&lt;&gt;"",P55=""),"Responsable manquant",IF(AND(R55&lt;&gt;"",O55=""),"Statut sans action",IF(AND(R55="Réalisée",N(S55)=0),"Date de réalisation manquante",IF(AND(T55&lt;&gt;"",IF(ISNUMBER(T55),T55&lt;0,TRUE)),"Coût invalide",IF(AND(COUNTBLANK(U55:W55)&gt;0,COUNTBLANK(U55:W55)&lt;3),"Cotation après action incomplète",IF(AND(COUNTBLANK(U55:W55)=0,X55=""),"G', O', D' : entiers de 1 à 10",IF(AND(X55&lt;&gt;"",X55&gt;L55),"IPR après action plus élevé","OK")))))))))))))))))</f>
        <v/>
      </c>
      <c r="AC55" s="59" t="str">
        <f>IF(OR(AA55="En retard",AA55="Échéance proche",AA55="Dans les délais",AA55="Échéance manquante",AA55="Action à définir",AA55="À réévaluer"),IF(OR(plan_who="",P55=plan_who),IF(N(Q55)&gt;0,Q55,99999)*1000+ROW(),""),"")</f>
        <v/>
      </c>
      <c r="AD55" s="59" t="str">
        <f>IF(L55="","",L55*1000+1000-ROW())</f>
        <v/>
      </c>
      <c r="AE55" s="59" t="str">
        <f>IF(IF(AA55="En retard",1,IF(AA55="Action à définir",2,IF(AA55="Échéance manquante",3,IF(AA55="Échéance proche",4,IF(AA55="À réévaluer",5,0)))))=0,"",IF(AA55="En retard",1,IF(AA55="Action à définir",2,IF(AA55="Échéance manquante",3,IF(AA55="Échéance proche",4,IF(AA55="À réévaluer",5,0)))))*100000000+IF(N(Q55)&gt;0,Q55,99999)*1000+ROW())</f>
        <v/>
      </c>
      <c r="AF55" s="59" t="str">
        <f>IF(X55&lt;&gt;"",X55,L55)</f>
        <v/>
      </c>
      <c r="AG55" s="59" t="str">
        <f>IF(X55&lt;&gt;"",Y55,IF(L55&lt;&gt;"",M55,""))</f>
        <v/>
      </c>
      <c r="AH55" s="59" t="str">
        <f>IF(L55="","",IF(X55&lt;&gt;"",U55,F55))</f>
        <v/>
      </c>
      <c r="AI55" s="59" t="str">
        <f>IF(L55="","",IF(X55&lt;&gt;"",V55,H55))</f>
        <v/>
      </c>
    </row>
    <row r="56" ht="30" customHeight="1">
      <c r="A56" s="50" t="n"/>
      <c r="B56" s="51" t="n"/>
      <c r="C56" s="51" t="n"/>
      <c r="D56" s="51" t="n"/>
      <c r="E56" s="51" t="n"/>
      <c r="F56" s="52" t="n"/>
      <c r="G56" s="51" t="n"/>
      <c r="H56" s="52" t="n"/>
      <c r="I56" s="51" t="n"/>
      <c r="J56" s="51" t="n"/>
      <c r="K56" s="52" t="n"/>
      <c r="L56" s="53" t="str">
        <f>IF(AND(IF(ISNUMBER(F56),AND(F56&gt;=1,F56&lt;=10,F56=INT(F56)),FALSE),IF(ISNUMBER(H56),AND(H56&gt;=1,H56&lt;=10,H56=INT(H56)),FALSE),IF(ISNUMBER(K56),AND(K56&gt;=1,K56&lt;=10,K56=INT(K56)),FALSE)),F56*H56*K56,"")</f>
        <v/>
      </c>
      <c r="M56" s="54" t="str">
        <f>IF(L56="",IF(D56="","","À coter"),IF(OR(F56&gt;=p_gmin,L56&gt;=p_ipr_crit),"Critique",IF(L56&gt;=p_ipr_act,"Élevée",IF(L56&gt;=p_ipr_watch,"Moyenne","Faible"))))</f>
        <v/>
      </c>
      <c r="N56" s="54" t="str">
        <f>IF(OR(M56="",M56="À coter"),"",IF(OR(M56="Critique",M56="Élevée"),"Oui","Non"))</f>
        <v/>
      </c>
      <c r="O56" s="51" t="n"/>
      <c r="P56" s="51" t="n"/>
      <c r="Q56" s="55" t="n"/>
      <c r="R56" s="50" t="n"/>
      <c r="S56" s="55" t="n"/>
      <c r="T56" s="56" t="n"/>
      <c r="U56" s="52" t="n"/>
      <c r="V56" s="52" t="n"/>
      <c r="W56" s="52" t="n"/>
      <c r="X56" s="53" t="str">
        <f>IF(AND(L56&lt;&gt;"",IF(ISNUMBER(U56),AND(U56&gt;=1,U56&lt;=10,U56=INT(U56)),FALSE),IF(ISNUMBER(V56),AND(V56&gt;=1,V56&lt;=10,V56=INT(V56)),FALSE),IF(ISNUMBER(W56),AND(W56&gt;=1,W56&lt;=10,W56=INT(W56)),FALSE)),U56*V56*W56,"")</f>
        <v/>
      </c>
      <c r="Y56" s="54" t="str">
        <f>IF(X56="","",IF(OR(U56&gt;=p_gmin,X56&gt;=p_ipr_crit),"Critique",IF(X56&gt;=p_ipr_act,"Élevée",IF(X56&gt;=p_ipr_watch,"Moyenne","Faible"))))</f>
        <v/>
      </c>
      <c r="Z56" s="57" t="str">
        <f>IF(X56="","",(L56-X56)/L56)</f>
        <v/>
      </c>
      <c r="AA56" s="54" t="str">
        <f>IF(AND(D56="",O56=""),"",IF(O56="",IF(N56="Oui","Action à définir",IF(N56="Non","Sans action","")),IF(R56="Annulée","Annulée",IF(R56="Réalisée",IF(X56="","À réévaluer","Réalisée"),IF(N(Q56)=0,"Échéance manquante",IF(Q56&lt;p_today,"En retard",IF(Q56-p_today&lt;=p_alert,"Échéance proche","Dans les délais")))))))</f>
        <v/>
      </c>
      <c r="AB56" s="58" t="str">
        <f>IF(AND(A56="",B56="",D56="",F56="",H56="",K56="",O56=""),"",IF(D56="","Mode de défaillance manquant",IF(AND(A56&lt;&gt;"",COUNTIF(am_num,A56)&gt;1),"N° en double",IF(F56="","Gravité G manquante",IF(NOT(IF(ISNUMBER(F56),AND(F56&gt;=1,F56&lt;=10,F56=INT(F56)),FALSE)),"G : entier de 1 à 10",IF(H56="","Occurrence O manquante",IF(NOT(IF(ISNUMBER(H56),AND(H56&gt;=1,H56&lt;=10,H56=INT(H56)),FALSE)),"O : entier de 1 à 10",IF(K56="","Détection D manquante",IF(NOT(IF(ISNUMBER(K56),AND(K56&gt;=1,K56&lt;=10,K56=INT(K56)),FALSE)),"D : entier de 1 à 10",IF(G56="","Cause manquante",IF(AND(O56&lt;&gt;"",P56=""),"Responsable manquant",IF(AND(R56&lt;&gt;"",O56=""),"Statut sans action",IF(AND(R56="Réalisée",N(S56)=0),"Date de réalisation manquante",IF(AND(T56&lt;&gt;"",IF(ISNUMBER(T56),T56&lt;0,TRUE)),"Coût invalide",IF(AND(COUNTBLANK(U56:W56)&gt;0,COUNTBLANK(U56:W56)&lt;3),"Cotation après action incomplète",IF(AND(COUNTBLANK(U56:W56)=0,X56=""),"G', O', D' : entiers de 1 à 10",IF(AND(X56&lt;&gt;"",X56&gt;L56),"IPR après action plus élevé","OK")))))))))))))))))</f>
        <v/>
      </c>
      <c r="AC56" s="59" t="str">
        <f>IF(OR(AA56="En retard",AA56="Échéance proche",AA56="Dans les délais",AA56="Échéance manquante",AA56="Action à définir",AA56="À réévaluer"),IF(OR(plan_who="",P56=plan_who),IF(N(Q56)&gt;0,Q56,99999)*1000+ROW(),""),"")</f>
        <v/>
      </c>
      <c r="AD56" s="59" t="str">
        <f>IF(L56="","",L56*1000+1000-ROW())</f>
        <v/>
      </c>
      <c r="AE56" s="59" t="str">
        <f>IF(IF(AA56="En retard",1,IF(AA56="Action à définir",2,IF(AA56="Échéance manquante",3,IF(AA56="Échéance proche",4,IF(AA56="À réévaluer",5,0)))))=0,"",IF(AA56="En retard",1,IF(AA56="Action à définir",2,IF(AA56="Échéance manquante",3,IF(AA56="Échéance proche",4,IF(AA56="À réévaluer",5,0)))))*100000000+IF(N(Q56)&gt;0,Q56,99999)*1000+ROW())</f>
        <v/>
      </c>
      <c r="AF56" s="59" t="str">
        <f>IF(X56&lt;&gt;"",X56,L56)</f>
        <v/>
      </c>
      <c r="AG56" s="59" t="str">
        <f>IF(X56&lt;&gt;"",Y56,IF(L56&lt;&gt;"",M56,""))</f>
        <v/>
      </c>
      <c r="AH56" s="59" t="str">
        <f>IF(L56="","",IF(X56&lt;&gt;"",U56,F56))</f>
        <v/>
      </c>
      <c r="AI56" s="59" t="str">
        <f>IF(L56="","",IF(X56&lt;&gt;"",V56,H56))</f>
        <v/>
      </c>
    </row>
    <row r="57" ht="30" customHeight="1">
      <c r="A57" s="50" t="n"/>
      <c r="B57" s="51" t="n"/>
      <c r="C57" s="51" t="n"/>
      <c r="D57" s="51" t="n"/>
      <c r="E57" s="51" t="n"/>
      <c r="F57" s="52" t="n"/>
      <c r="G57" s="51" t="n"/>
      <c r="H57" s="52" t="n"/>
      <c r="I57" s="51" t="n"/>
      <c r="J57" s="51" t="n"/>
      <c r="K57" s="52" t="n"/>
      <c r="L57" s="53" t="str">
        <f>IF(AND(IF(ISNUMBER(F57),AND(F57&gt;=1,F57&lt;=10,F57=INT(F57)),FALSE),IF(ISNUMBER(H57),AND(H57&gt;=1,H57&lt;=10,H57=INT(H57)),FALSE),IF(ISNUMBER(K57),AND(K57&gt;=1,K57&lt;=10,K57=INT(K57)),FALSE)),F57*H57*K57,"")</f>
        <v/>
      </c>
      <c r="M57" s="54" t="str">
        <f>IF(L57="",IF(D57="","","À coter"),IF(OR(F57&gt;=p_gmin,L57&gt;=p_ipr_crit),"Critique",IF(L57&gt;=p_ipr_act,"Élevée",IF(L57&gt;=p_ipr_watch,"Moyenne","Faible"))))</f>
        <v/>
      </c>
      <c r="N57" s="54" t="str">
        <f>IF(OR(M57="",M57="À coter"),"",IF(OR(M57="Critique",M57="Élevée"),"Oui","Non"))</f>
        <v/>
      </c>
      <c r="O57" s="51" t="n"/>
      <c r="P57" s="51" t="n"/>
      <c r="Q57" s="55" t="n"/>
      <c r="R57" s="50" t="n"/>
      <c r="S57" s="55" t="n"/>
      <c r="T57" s="56" t="n"/>
      <c r="U57" s="52" t="n"/>
      <c r="V57" s="52" t="n"/>
      <c r="W57" s="52" t="n"/>
      <c r="X57" s="53" t="str">
        <f>IF(AND(L57&lt;&gt;"",IF(ISNUMBER(U57),AND(U57&gt;=1,U57&lt;=10,U57=INT(U57)),FALSE),IF(ISNUMBER(V57),AND(V57&gt;=1,V57&lt;=10,V57=INT(V57)),FALSE),IF(ISNUMBER(W57),AND(W57&gt;=1,W57&lt;=10,W57=INT(W57)),FALSE)),U57*V57*W57,"")</f>
        <v/>
      </c>
      <c r="Y57" s="54" t="str">
        <f>IF(X57="","",IF(OR(U57&gt;=p_gmin,X57&gt;=p_ipr_crit),"Critique",IF(X57&gt;=p_ipr_act,"Élevée",IF(X57&gt;=p_ipr_watch,"Moyenne","Faible"))))</f>
        <v/>
      </c>
      <c r="Z57" s="57" t="str">
        <f>IF(X57="","",(L57-X57)/L57)</f>
        <v/>
      </c>
      <c r="AA57" s="54" t="str">
        <f>IF(AND(D57="",O57=""),"",IF(O57="",IF(N57="Oui","Action à définir",IF(N57="Non","Sans action","")),IF(R57="Annulée","Annulée",IF(R57="Réalisée",IF(X57="","À réévaluer","Réalisée"),IF(N(Q57)=0,"Échéance manquante",IF(Q57&lt;p_today,"En retard",IF(Q57-p_today&lt;=p_alert,"Échéance proche","Dans les délais")))))))</f>
        <v/>
      </c>
      <c r="AB57" s="58" t="str">
        <f>IF(AND(A57="",B57="",D57="",F57="",H57="",K57="",O57=""),"",IF(D57="","Mode de défaillance manquant",IF(AND(A57&lt;&gt;"",COUNTIF(am_num,A57)&gt;1),"N° en double",IF(F57="","Gravité G manquante",IF(NOT(IF(ISNUMBER(F57),AND(F57&gt;=1,F57&lt;=10,F57=INT(F57)),FALSE)),"G : entier de 1 à 10",IF(H57="","Occurrence O manquante",IF(NOT(IF(ISNUMBER(H57),AND(H57&gt;=1,H57&lt;=10,H57=INT(H57)),FALSE)),"O : entier de 1 à 10",IF(K57="","Détection D manquante",IF(NOT(IF(ISNUMBER(K57),AND(K57&gt;=1,K57&lt;=10,K57=INT(K57)),FALSE)),"D : entier de 1 à 10",IF(G57="","Cause manquante",IF(AND(O57&lt;&gt;"",P57=""),"Responsable manquant",IF(AND(R57&lt;&gt;"",O57=""),"Statut sans action",IF(AND(R57="Réalisée",N(S57)=0),"Date de réalisation manquante",IF(AND(T57&lt;&gt;"",IF(ISNUMBER(T57),T57&lt;0,TRUE)),"Coût invalide",IF(AND(COUNTBLANK(U57:W57)&gt;0,COUNTBLANK(U57:W57)&lt;3),"Cotation après action incomplète",IF(AND(COUNTBLANK(U57:W57)=0,X57=""),"G', O', D' : entiers de 1 à 10",IF(AND(X57&lt;&gt;"",X57&gt;L57),"IPR après action plus élevé","OK")))))))))))))))))</f>
        <v/>
      </c>
      <c r="AC57" s="59" t="str">
        <f>IF(OR(AA57="En retard",AA57="Échéance proche",AA57="Dans les délais",AA57="Échéance manquante",AA57="Action à définir",AA57="À réévaluer"),IF(OR(plan_who="",P57=plan_who),IF(N(Q57)&gt;0,Q57,99999)*1000+ROW(),""),"")</f>
        <v/>
      </c>
      <c r="AD57" s="59" t="str">
        <f>IF(L57="","",L57*1000+1000-ROW())</f>
        <v/>
      </c>
      <c r="AE57" s="59" t="str">
        <f>IF(IF(AA57="En retard",1,IF(AA57="Action à définir",2,IF(AA57="Échéance manquante",3,IF(AA57="Échéance proche",4,IF(AA57="À réévaluer",5,0)))))=0,"",IF(AA57="En retard",1,IF(AA57="Action à définir",2,IF(AA57="Échéance manquante",3,IF(AA57="Échéance proche",4,IF(AA57="À réévaluer",5,0)))))*100000000+IF(N(Q57)&gt;0,Q57,99999)*1000+ROW())</f>
        <v/>
      </c>
      <c r="AF57" s="59" t="str">
        <f>IF(X57&lt;&gt;"",X57,L57)</f>
        <v/>
      </c>
      <c r="AG57" s="59" t="str">
        <f>IF(X57&lt;&gt;"",Y57,IF(L57&lt;&gt;"",M57,""))</f>
        <v/>
      </c>
      <c r="AH57" s="59" t="str">
        <f>IF(L57="","",IF(X57&lt;&gt;"",U57,F57))</f>
        <v/>
      </c>
      <c r="AI57" s="59" t="str">
        <f>IF(L57="","",IF(X57&lt;&gt;"",V57,H57))</f>
        <v/>
      </c>
    </row>
    <row r="58" ht="30" customHeight="1">
      <c r="A58" s="50" t="n"/>
      <c r="B58" s="51" t="n"/>
      <c r="C58" s="51" t="n"/>
      <c r="D58" s="51" t="n"/>
      <c r="E58" s="51" t="n"/>
      <c r="F58" s="52" t="n"/>
      <c r="G58" s="51" t="n"/>
      <c r="H58" s="52" t="n"/>
      <c r="I58" s="51" t="n"/>
      <c r="J58" s="51" t="n"/>
      <c r="K58" s="52" t="n"/>
      <c r="L58" s="53" t="str">
        <f>IF(AND(IF(ISNUMBER(F58),AND(F58&gt;=1,F58&lt;=10,F58=INT(F58)),FALSE),IF(ISNUMBER(H58),AND(H58&gt;=1,H58&lt;=10,H58=INT(H58)),FALSE),IF(ISNUMBER(K58),AND(K58&gt;=1,K58&lt;=10,K58=INT(K58)),FALSE)),F58*H58*K58,"")</f>
        <v/>
      </c>
      <c r="M58" s="54" t="str">
        <f>IF(L58="",IF(D58="","","À coter"),IF(OR(F58&gt;=p_gmin,L58&gt;=p_ipr_crit),"Critique",IF(L58&gt;=p_ipr_act,"Élevée",IF(L58&gt;=p_ipr_watch,"Moyenne","Faible"))))</f>
        <v/>
      </c>
      <c r="N58" s="54" t="str">
        <f>IF(OR(M58="",M58="À coter"),"",IF(OR(M58="Critique",M58="Élevée"),"Oui","Non"))</f>
        <v/>
      </c>
      <c r="O58" s="51" t="n"/>
      <c r="P58" s="51" t="n"/>
      <c r="Q58" s="55" t="n"/>
      <c r="R58" s="50" t="n"/>
      <c r="S58" s="55" t="n"/>
      <c r="T58" s="56" t="n"/>
      <c r="U58" s="52" t="n"/>
      <c r="V58" s="52" t="n"/>
      <c r="W58" s="52" t="n"/>
      <c r="X58" s="53" t="str">
        <f>IF(AND(L58&lt;&gt;"",IF(ISNUMBER(U58),AND(U58&gt;=1,U58&lt;=10,U58=INT(U58)),FALSE),IF(ISNUMBER(V58),AND(V58&gt;=1,V58&lt;=10,V58=INT(V58)),FALSE),IF(ISNUMBER(W58),AND(W58&gt;=1,W58&lt;=10,W58=INT(W58)),FALSE)),U58*V58*W58,"")</f>
        <v/>
      </c>
      <c r="Y58" s="54" t="str">
        <f>IF(X58="","",IF(OR(U58&gt;=p_gmin,X58&gt;=p_ipr_crit),"Critique",IF(X58&gt;=p_ipr_act,"Élevée",IF(X58&gt;=p_ipr_watch,"Moyenne","Faible"))))</f>
        <v/>
      </c>
      <c r="Z58" s="57" t="str">
        <f>IF(X58="","",(L58-X58)/L58)</f>
        <v/>
      </c>
      <c r="AA58" s="54" t="str">
        <f>IF(AND(D58="",O58=""),"",IF(O58="",IF(N58="Oui","Action à définir",IF(N58="Non","Sans action","")),IF(R58="Annulée","Annulée",IF(R58="Réalisée",IF(X58="","À réévaluer","Réalisée"),IF(N(Q58)=0,"Échéance manquante",IF(Q58&lt;p_today,"En retard",IF(Q58-p_today&lt;=p_alert,"Échéance proche","Dans les délais")))))))</f>
        <v/>
      </c>
      <c r="AB58" s="58" t="str">
        <f>IF(AND(A58="",B58="",D58="",F58="",H58="",K58="",O58=""),"",IF(D58="","Mode de défaillance manquant",IF(AND(A58&lt;&gt;"",COUNTIF(am_num,A58)&gt;1),"N° en double",IF(F58="","Gravité G manquante",IF(NOT(IF(ISNUMBER(F58),AND(F58&gt;=1,F58&lt;=10,F58=INT(F58)),FALSE)),"G : entier de 1 à 10",IF(H58="","Occurrence O manquante",IF(NOT(IF(ISNUMBER(H58),AND(H58&gt;=1,H58&lt;=10,H58=INT(H58)),FALSE)),"O : entier de 1 à 10",IF(K58="","Détection D manquante",IF(NOT(IF(ISNUMBER(K58),AND(K58&gt;=1,K58&lt;=10,K58=INT(K58)),FALSE)),"D : entier de 1 à 10",IF(G58="","Cause manquante",IF(AND(O58&lt;&gt;"",P58=""),"Responsable manquant",IF(AND(R58&lt;&gt;"",O58=""),"Statut sans action",IF(AND(R58="Réalisée",N(S58)=0),"Date de réalisation manquante",IF(AND(T58&lt;&gt;"",IF(ISNUMBER(T58),T58&lt;0,TRUE)),"Coût invalide",IF(AND(COUNTBLANK(U58:W58)&gt;0,COUNTBLANK(U58:W58)&lt;3),"Cotation après action incomplète",IF(AND(COUNTBLANK(U58:W58)=0,X58=""),"G', O', D' : entiers de 1 à 10",IF(AND(X58&lt;&gt;"",X58&gt;L58),"IPR après action plus élevé","OK")))))))))))))))))</f>
        <v/>
      </c>
      <c r="AC58" s="59" t="str">
        <f>IF(OR(AA58="En retard",AA58="Échéance proche",AA58="Dans les délais",AA58="Échéance manquante",AA58="Action à définir",AA58="À réévaluer"),IF(OR(plan_who="",P58=plan_who),IF(N(Q58)&gt;0,Q58,99999)*1000+ROW(),""),"")</f>
        <v/>
      </c>
      <c r="AD58" s="59" t="str">
        <f>IF(L58="","",L58*1000+1000-ROW())</f>
        <v/>
      </c>
      <c r="AE58" s="59" t="str">
        <f>IF(IF(AA58="En retard",1,IF(AA58="Action à définir",2,IF(AA58="Échéance manquante",3,IF(AA58="Échéance proche",4,IF(AA58="À réévaluer",5,0)))))=0,"",IF(AA58="En retard",1,IF(AA58="Action à définir",2,IF(AA58="Échéance manquante",3,IF(AA58="Échéance proche",4,IF(AA58="À réévaluer",5,0)))))*100000000+IF(N(Q58)&gt;0,Q58,99999)*1000+ROW())</f>
        <v/>
      </c>
      <c r="AF58" s="59" t="str">
        <f>IF(X58&lt;&gt;"",X58,L58)</f>
        <v/>
      </c>
      <c r="AG58" s="59" t="str">
        <f>IF(X58&lt;&gt;"",Y58,IF(L58&lt;&gt;"",M58,""))</f>
        <v/>
      </c>
      <c r="AH58" s="59" t="str">
        <f>IF(L58="","",IF(X58&lt;&gt;"",U58,F58))</f>
        <v/>
      </c>
      <c r="AI58" s="59" t="str">
        <f>IF(L58="","",IF(X58&lt;&gt;"",V58,H58))</f>
        <v/>
      </c>
    </row>
    <row r="59" ht="30" customHeight="1">
      <c r="A59" s="50" t="n"/>
      <c r="B59" s="51" t="n"/>
      <c r="C59" s="51" t="n"/>
      <c r="D59" s="51" t="n"/>
      <c r="E59" s="51" t="n"/>
      <c r="F59" s="52" t="n"/>
      <c r="G59" s="51" t="n"/>
      <c r="H59" s="52" t="n"/>
      <c r="I59" s="51" t="n"/>
      <c r="J59" s="51" t="n"/>
      <c r="K59" s="52" t="n"/>
      <c r="L59" s="53" t="str">
        <f>IF(AND(IF(ISNUMBER(F59),AND(F59&gt;=1,F59&lt;=10,F59=INT(F59)),FALSE),IF(ISNUMBER(H59),AND(H59&gt;=1,H59&lt;=10,H59=INT(H59)),FALSE),IF(ISNUMBER(K59),AND(K59&gt;=1,K59&lt;=10,K59=INT(K59)),FALSE)),F59*H59*K59,"")</f>
        <v/>
      </c>
      <c r="M59" s="54" t="str">
        <f>IF(L59="",IF(D59="","","À coter"),IF(OR(F59&gt;=p_gmin,L59&gt;=p_ipr_crit),"Critique",IF(L59&gt;=p_ipr_act,"Élevée",IF(L59&gt;=p_ipr_watch,"Moyenne","Faible"))))</f>
        <v/>
      </c>
      <c r="N59" s="54" t="str">
        <f>IF(OR(M59="",M59="À coter"),"",IF(OR(M59="Critique",M59="Élevée"),"Oui","Non"))</f>
        <v/>
      </c>
      <c r="O59" s="51" t="n"/>
      <c r="P59" s="51" t="n"/>
      <c r="Q59" s="55" t="n"/>
      <c r="R59" s="50" t="n"/>
      <c r="S59" s="55" t="n"/>
      <c r="T59" s="56" t="n"/>
      <c r="U59" s="52" t="n"/>
      <c r="V59" s="52" t="n"/>
      <c r="W59" s="52" t="n"/>
      <c r="X59" s="53" t="str">
        <f>IF(AND(L59&lt;&gt;"",IF(ISNUMBER(U59),AND(U59&gt;=1,U59&lt;=10,U59=INT(U59)),FALSE),IF(ISNUMBER(V59),AND(V59&gt;=1,V59&lt;=10,V59=INT(V59)),FALSE),IF(ISNUMBER(W59),AND(W59&gt;=1,W59&lt;=10,W59=INT(W59)),FALSE)),U59*V59*W59,"")</f>
        <v/>
      </c>
      <c r="Y59" s="54" t="str">
        <f>IF(X59="","",IF(OR(U59&gt;=p_gmin,X59&gt;=p_ipr_crit),"Critique",IF(X59&gt;=p_ipr_act,"Élevée",IF(X59&gt;=p_ipr_watch,"Moyenne","Faible"))))</f>
        <v/>
      </c>
      <c r="Z59" s="57" t="str">
        <f>IF(X59="","",(L59-X59)/L59)</f>
        <v/>
      </c>
      <c r="AA59" s="54" t="str">
        <f>IF(AND(D59="",O59=""),"",IF(O59="",IF(N59="Oui","Action à définir",IF(N59="Non","Sans action","")),IF(R59="Annulée","Annulée",IF(R59="Réalisée",IF(X59="","À réévaluer","Réalisée"),IF(N(Q59)=0,"Échéance manquante",IF(Q59&lt;p_today,"En retard",IF(Q59-p_today&lt;=p_alert,"Échéance proche","Dans les délais")))))))</f>
        <v/>
      </c>
      <c r="AB59" s="58" t="str">
        <f>IF(AND(A59="",B59="",D59="",F59="",H59="",K59="",O59=""),"",IF(D59="","Mode de défaillance manquant",IF(AND(A59&lt;&gt;"",COUNTIF(am_num,A59)&gt;1),"N° en double",IF(F59="","Gravité G manquante",IF(NOT(IF(ISNUMBER(F59),AND(F59&gt;=1,F59&lt;=10,F59=INT(F59)),FALSE)),"G : entier de 1 à 10",IF(H59="","Occurrence O manquante",IF(NOT(IF(ISNUMBER(H59),AND(H59&gt;=1,H59&lt;=10,H59=INT(H59)),FALSE)),"O : entier de 1 à 10",IF(K59="","Détection D manquante",IF(NOT(IF(ISNUMBER(K59),AND(K59&gt;=1,K59&lt;=10,K59=INT(K59)),FALSE)),"D : entier de 1 à 10",IF(G59="","Cause manquante",IF(AND(O59&lt;&gt;"",P59=""),"Responsable manquant",IF(AND(R59&lt;&gt;"",O59=""),"Statut sans action",IF(AND(R59="Réalisée",N(S59)=0),"Date de réalisation manquante",IF(AND(T59&lt;&gt;"",IF(ISNUMBER(T59),T59&lt;0,TRUE)),"Coût invalide",IF(AND(COUNTBLANK(U59:W59)&gt;0,COUNTBLANK(U59:W59)&lt;3),"Cotation après action incomplète",IF(AND(COUNTBLANK(U59:W59)=0,X59=""),"G', O', D' : entiers de 1 à 10",IF(AND(X59&lt;&gt;"",X59&gt;L59),"IPR après action plus élevé","OK")))))))))))))))))</f>
        <v/>
      </c>
      <c r="AC59" s="59" t="str">
        <f>IF(OR(AA59="En retard",AA59="Échéance proche",AA59="Dans les délais",AA59="Échéance manquante",AA59="Action à définir",AA59="À réévaluer"),IF(OR(plan_who="",P59=plan_who),IF(N(Q59)&gt;0,Q59,99999)*1000+ROW(),""),"")</f>
        <v/>
      </c>
      <c r="AD59" s="59" t="str">
        <f>IF(L59="","",L59*1000+1000-ROW())</f>
        <v/>
      </c>
      <c r="AE59" s="59" t="str">
        <f>IF(IF(AA59="En retard",1,IF(AA59="Action à définir",2,IF(AA59="Échéance manquante",3,IF(AA59="Échéance proche",4,IF(AA59="À réévaluer",5,0)))))=0,"",IF(AA59="En retard",1,IF(AA59="Action à définir",2,IF(AA59="Échéance manquante",3,IF(AA59="Échéance proche",4,IF(AA59="À réévaluer",5,0)))))*100000000+IF(N(Q59)&gt;0,Q59,99999)*1000+ROW())</f>
        <v/>
      </c>
      <c r="AF59" s="59" t="str">
        <f>IF(X59&lt;&gt;"",X59,L59)</f>
        <v/>
      </c>
      <c r="AG59" s="59" t="str">
        <f>IF(X59&lt;&gt;"",Y59,IF(L59&lt;&gt;"",M59,""))</f>
        <v/>
      </c>
      <c r="AH59" s="59" t="str">
        <f>IF(L59="","",IF(X59&lt;&gt;"",U59,F59))</f>
        <v/>
      </c>
      <c r="AI59" s="59" t="str">
        <f>IF(L59="","",IF(X59&lt;&gt;"",V59,H59))</f>
        <v/>
      </c>
    </row>
    <row r="60" ht="30" customHeight="1">
      <c r="A60" s="50" t="n"/>
      <c r="B60" s="51" t="n"/>
      <c r="C60" s="51" t="n"/>
      <c r="D60" s="51" t="n"/>
      <c r="E60" s="51" t="n"/>
      <c r="F60" s="52" t="n"/>
      <c r="G60" s="51" t="n"/>
      <c r="H60" s="52" t="n"/>
      <c r="I60" s="51" t="n"/>
      <c r="J60" s="51" t="n"/>
      <c r="K60" s="52" t="n"/>
      <c r="L60" s="53" t="str">
        <f>IF(AND(IF(ISNUMBER(F60),AND(F60&gt;=1,F60&lt;=10,F60=INT(F60)),FALSE),IF(ISNUMBER(H60),AND(H60&gt;=1,H60&lt;=10,H60=INT(H60)),FALSE),IF(ISNUMBER(K60),AND(K60&gt;=1,K60&lt;=10,K60=INT(K60)),FALSE)),F60*H60*K60,"")</f>
        <v/>
      </c>
      <c r="M60" s="54" t="str">
        <f>IF(L60="",IF(D60="","","À coter"),IF(OR(F60&gt;=p_gmin,L60&gt;=p_ipr_crit),"Critique",IF(L60&gt;=p_ipr_act,"Élevée",IF(L60&gt;=p_ipr_watch,"Moyenne","Faible"))))</f>
        <v/>
      </c>
      <c r="N60" s="54" t="str">
        <f>IF(OR(M60="",M60="À coter"),"",IF(OR(M60="Critique",M60="Élevée"),"Oui","Non"))</f>
        <v/>
      </c>
      <c r="O60" s="51" t="n"/>
      <c r="P60" s="51" t="n"/>
      <c r="Q60" s="55" t="n"/>
      <c r="R60" s="50" t="n"/>
      <c r="S60" s="55" t="n"/>
      <c r="T60" s="56" t="n"/>
      <c r="U60" s="52" t="n"/>
      <c r="V60" s="52" t="n"/>
      <c r="W60" s="52" t="n"/>
      <c r="X60" s="53" t="str">
        <f>IF(AND(L60&lt;&gt;"",IF(ISNUMBER(U60),AND(U60&gt;=1,U60&lt;=10,U60=INT(U60)),FALSE),IF(ISNUMBER(V60),AND(V60&gt;=1,V60&lt;=10,V60=INT(V60)),FALSE),IF(ISNUMBER(W60),AND(W60&gt;=1,W60&lt;=10,W60=INT(W60)),FALSE)),U60*V60*W60,"")</f>
        <v/>
      </c>
      <c r="Y60" s="54" t="str">
        <f>IF(X60="","",IF(OR(U60&gt;=p_gmin,X60&gt;=p_ipr_crit),"Critique",IF(X60&gt;=p_ipr_act,"Élevée",IF(X60&gt;=p_ipr_watch,"Moyenne","Faible"))))</f>
        <v/>
      </c>
      <c r="Z60" s="57" t="str">
        <f>IF(X60="","",(L60-X60)/L60)</f>
        <v/>
      </c>
      <c r="AA60" s="54" t="str">
        <f>IF(AND(D60="",O60=""),"",IF(O60="",IF(N60="Oui","Action à définir",IF(N60="Non","Sans action","")),IF(R60="Annulée","Annulée",IF(R60="Réalisée",IF(X60="","À réévaluer","Réalisée"),IF(N(Q60)=0,"Échéance manquante",IF(Q60&lt;p_today,"En retard",IF(Q60-p_today&lt;=p_alert,"Échéance proche","Dans les délais")))))))</f>
        <v/>
      </c>
      <c r="AB60" s="58" t="str">
        <f>IF(AND(A60="",B60="",D60="",F60="",H60="",K60="",O60=""),"",IF(D60="","Mode de défaillance manquant",IF(AND(A60&lt;&gt;"",COUNTIF(am_num,A60)&gt;1),"N° en double",IF(F60="","Gravité G manquante",IF(NOT(IF(ISNUMBER(F60),AND(F60&gt;=1,F60&lt;=10,F60=INT(F60)),FALSE)),"G : entier de 1 à 10",IF(H60="","Occurrence O manquante",IF(NOT(IF(ISNUMBER(H60),AND(H60&gt;=1,H60&lt;=10,H60=INT(H60)),FALSE)),"O : entier de 1 à 10",IF(K60="","Détection D manquante",IF(NOT(IF(ISNUMBER(K60),AND(K60&gt;=1,K60&lt;=10,K60=INT(K60)),FALSE)),"D : entier de 1 à 10",IF(G60="","Cause manquante",IF(AND(O60&lt;&gt;"",P60=""),"Responsable manquant",IF(AND(R60&lt;&gt;"",O60=""),"Statut sans action",IF(AND(R60="Réalisée",N(S60)=0),"Date de réalisation manquante",IF(AND(T60&lt;&gt;"",IF(ISNUMBER(T60),T60&lt;0,TRUE)),"Coût invalide",IF(AND(COUNTBLANK(U60:W60)&gt;0,COUNTBLANK(U60:W60)&lt;3),"Cotation après action incomplète",IF(AND(COUNTBLANK(U60:W60)=0,X60=""),"G', O', D' : entiers de 1 à 10",IF(AND(X60&lt;&gt;"",X60&gt;L60),"IPR après action plus élevé","OK")))))))))))))))))</f>
        <v/>
      </c>
      <c r="AC60" s="59" t="str">
        <f>IF(OR(AA60="En retard",AA60="Échéance proche",AA60="Dans les délais",AA60="Échéance manquante",AA60="Action à définir",AA60="À réévaluer"),IF(OR(plan_who="",P60=plan_who),IF(N(Q60)&gt;0,Q60,99999)*1000+ROW(),""),"")</f>
        <v/>
      </c>
      <c r="AD60" s="59" t="str">
        <f>IF(L60="","",L60*1000+1000-ROW())</f>
        <v/>
      </c>
      <c r="AE60" s="59" t="str">
        <f>IF(IF(AA60="En retard",1,IF(AA60="Action à définir",2,IF(AA60="Échéance manquante",3,IF(AA60="Échéance proche",4,IF(AA60="À réévaluer",5,0)))))=0,"",IF(AA60="En retard",1,IF(AA60="Action à définir",2,IF(AA60="Échéance manquante",3,IF(AA60="Échéance proche",4,IF(AA60="À réévaluer",5,0)))))*100000000+IF(N(Q60)&gt;0,Q60,99999)*1000+ROW())</f>
        <v/>
      </c>
      <c r="AF60" s="59" t="str">
        <f>IF(X60&lt;&gt;"",X60,L60)</f>
        <v/>
      </c>
      <c r="AG60" s="59" t="str">
        <f>IF(X60&lt;&gt;"",Y60,IF(L60&lt;&gt;"",M60,""))</f>
        <v/>
      </c>
      <c r="AH60" s="59" t="str">
        <f>IF(L60="","",IF(X60&lt;&gt;"",U60,F60))</f>
        <v/>
      </c>
      <c r="AI60" s="59" t="str">
        <f>IF(L60="","",IF(X60&lt;&gt;"",V60,H60))</f>
        <v/>
      </c>
    </row>
    <row r="61" ht="30" customHeight="1">
      <c r="A61" s="50" t="n"/>
      <c r="B61" s="51" t="n"/>
      <c r="C61" s="51" t="n"/>
      <c r="D61" s="51" t="n"/>
      <c r="E61" s="51" t="n"/>
      <c r="F61" s="52" t="n"/>
      <c r="G61" s="51" t="n"/>
      <c r="H61" s="52" t="n"/>
      <c r="I61" s="51" t="n"/>
      <c r="J61" s="51" t="n"/>
      <c r="K61" s="52" t="n"/>
      <c r="L61" s="53" t="str">
        <f>IF(AND(IF(ISNUMBER(F61),AND(F61&gt;=1,F61&lt;=10,F61=INT(F61)),FALSE),IF(ISNUMBER(H61),AND(H61&gt;=1,H61&lt;=10,H61=INT(H61)),FALSE),IF(ISNUMBER(K61),AND(K61&gt;=1,K61&lt;=10,K61=INT(K61)),FALSE)),F61*H61*K61,"")</f>
        <v/>
      </c>
      <c r="M61" s="54" t="str">
        <f>IF(L61="",IF(D61="","","À coter"),IF(OR(F61&gt;=p_gmin,L61&gt;=p_ipr_crit),"Critique",IF(L61&gt;=p_ipr_act,"Élevée",IF(L61&gt;=p_ipr_watch,"Moyenne","Faible"))))</f>
        <v/>
      </c>
      <c r="N61" s="54" t="str">
        <f>IF(OR(M61="",M61="À coter"),"",IF(OR(M61="Critique",M61="Élevée"),"Oui","Non"))</f>
        <v/>
      </c>
      <c r="O61" s="51" t="n"/>
      <c r="P61" s="51" t="n"/>
      <c r="Q61" s="55" t="n"/>
      <c r="R61" s="50" t="n"/>
      <c r="S61" s="55" t="n"/>
      <c r="T61" s="56" t="n"/>
      <c r="U61" s="52" t="n"/>
      <c r="V61" s="52" t="n"/>
      <c r="W61" s="52" t="n"/>
      <c r="X61" s="53" t="str">
        <f>IF(AND(L61&lt;&gt;"",IF(ISNUMBER(U61),AND(U61&gt;=1,U61&lt;=10,U61=INT(U61)),FALSE),IF(ISNUMBER(V61),AND(V61&gt;=1,V61&lt;=10,V61=INT(V61)),FALSE),IF(ISNUMBER(W61),AND(W61&gt;=1,W61&lt;=10,W61=INT(W61)),FALSE)),U61*V61*W61,"")</f>
        <v/>
      </c>
      <c r="Y61" s="54" t="str">
        <f>IF(X61="","",IF(OR(U61&gt;=p_gmin,X61&gt;=p_ipr_crit),"Critique",IF(X61&gt;=p_ipr_act,"Élevée",IF(X61&gt;=p_ipr_watch,"Moyenne","Faible"))))</f>
        <v/>
      </c>
      <c r="Z61" s="57" t="str">
        <f>IF(X61="","",(L61-X61)/L61)</f>
        <v/>
      </c>
      <c r="AA61" s="54" t="str">
        <f>IF(AND(D61="",O61=""),"",IF(O61="",IF(N61="Oui","Action à définir",IF(N61="Non","Sans action","")),IF(R61="Annulée","Annulée",IF(R61="Réalisée",IF(X61="","À réévaluer","Réalisée"),IF(N(Q61)=0,"Échéance manquante",IF(Q61&lt;p_today,"En retard",IF(Q61-p_today&lt;=p_alert,"Échéance proche","Dans les délais")))))))</f>
        <v/>
      </c>
      <c r="AB61" s="58" t="str">
        <f>IF(AND(A61="",B61="",D61="",F61="",H61="",K61="",O61=""),"",IF(D61="","Mode de défaillance manquant",IF(AND(A61&lt;&gt;"",COUNTIF(am_num,A61)&gt;1),"N° en double",IF(F61="","Gravité G manquante",IF(NOT(IF(ISNUMBER(F61),AND(F61&gt;=1,F61&lt;=10,F61=INT(F61)),FALSE)),"G : entier de 1 à 10",IF(H61="","Occurrence O manquante",IF(NOT(IF(ISNUMBER(H61),AND(H61&gt;=1,H61&lt;=10,H61=INT(H61)),FALSE)),"O : entier de 1 à 10",IF(K61="","Détection D manquante",IF(NOT(IF(ISNUMBER(K61),AND(K61&gt;=1,K61&lt;=10,K61=INT(K61)),FALSE)),"D : entier de 1 à 10",IF(G61="","Cause manquante",IF(AND(O61&lt;&gt;"",P61=""),"Responsable manquant",IF(AND(R61&lt;&gt;"",O61=""),"Statut sans action",IF(AND(R61="Réalisée",N(S61)=0),"Date de réalisation manquante",IF(AND(T61&lt;&gt;"",IF(ISNUMBER(T61),T61&lt;0,TRUE)),"Coût invalide",IF(AND(COUNTBLANK(U61:W61)&gt;0,COUNTBLANK(U61:W61)&lt;3),"Cotation après action incomplète",IF(AND(COUNTBLANK(U61:W61)=0,X61=""),"G', O', D' : entiers de 1 à 10",IF(AND(X61&lt;&gt;"",X61&gt;L61),"IPR après action plus élevé","OK")))))))))))))))))</f>
        <v/>
      </c>
      <c r="AC61" s="59" t="str">
        <f>IF(OR(AA61="En retard",AA61="Échéance proche",AA61="Dans les délais",AA61="Échéance manquante",AA61="Action à définir",AA61="À réévaluer"),IF(OR(plan_who="",P61=plan_who),IF(N(Q61)&gt;0,Q61,99999)*1000+ROW(),""),"")</f>
        <v/>
      </c>
      <c r="AD61" s="59" t="str">
        <f>IF(L61="","",L61*1000+1000-ROW())</f>
        <v/>
      </c>
      <c r="AE61" s="59" t="str">
        <f>IF(IF(AA61="En retard",1,IF(AA61="Action à définir",2,IF(AA61="Échéance manquante",3,IF(AA61="Échéance proche",4,IF(AA61="À réévaluer",5,0)))))=0,"",IF(AA61="En retard",1,IF(AA61="Action à définir",2,IF(AA61="Échéance manquante",3,IF(AA61="Échéance proche",4,IF(AA61="À réévaluer",5,0)))))*100000000+IF(N(Q61)&gt;0,Q61,99999)*1000+ROW())</f>
        <v/>
      </c>
      <c r="AF61" s="59" t="str">
        <f>IF(X61&lt;&gt;"",X61,L61)</f>
        <v/>
      </c>
      <c r="AG61" s="59" t="str">
        <f>IF(X61&lt;&gt;"",Y61,IF(L61&lt;&gt;"",M61,""))</f>
        <v/>
      </c>
      <c r="AH61" s="59" t="str">
        <f>IF(L61="","",IF(X61&lt;&gt;"",U61,F61))</f>
        <v/>
      </c>
      <c r="AI61" s="59" t="str">
        <f>IF(L61="","",IF(X61&lt;&gt;"",V61,H61))</f>
        <v/>
      </c>
    </row>
    <row r="62" ht="30" customHeight="1">
      <c r="A62" s="50" t="n"/>
      <c r="B62" s="51" t="n"/>
      <c r="C62" s="51" t="n"/>
      <c r="D62" s="51" t="n"/>
      <c r="E62" s="51" t="n"/>
      <c r="F62" s="52" t="n"/>
      <c r="G62" s="51" t="n"/>
      <c r="H62" s="52" t="n"/>
      <c r="I62" s="51" t="n"/>
      <c r="J62" s="51" t="n"/>
      <c r="K62" s="52" t="n"/>
      <c r="L62" s="53" t="str">
        <f>IF(AND(IF(ISNUMBER(F62),AND(F62&gt;=1,F62&lt;=10,F62=INT(F62)),FALSE),IF(ISNUMBER(H62),AND(H62&gt;=1,H62&lt;=10,H62=INT(H62)),FALSE),IF(ISNUMBER(K62),AND(K62&gt;=1,K62&lt;=10,K62=INT(K62)),FALSE)),F62*H62*K62,"")</f>
        <v/>
      </c>
      <c r="M62" s="54" t="str">
        <f>IF(L62="",IF(D62="","","À coter"),IF(OR(F62&gt;=p_gmin,L62&gt;=p_ipr_crit),"Critique",IF(L62&gt;=p_ipr_act,"Élevée",IF(L62&gt;=p_ipr_watch,"Moyenne","Faible"))))</f>
        <v/>
      </c>
      <c r="N62" s="54" t="str">
        <f>IF(OR(M62="",M62="À coter"),"",IF(OR(M62="Critique",M62="Élevée"),"Oui","Non"))</f>
        <v/>
      </c>
      <c r="O62" s="51" t="n"/>
      <c r="P62" s="51" t="n"/>
      <c r="Q62" s="55" t="n"/>
      <c r="R62" s="50" t="n"/>
      <c r="S62" s="55" t="n"/>
      <c r="T62" s="56" t="n"/>
      <c r="U62" s="52" t="n"/>
      <c r="V62" s="52" t="n"/>
      <c r="W62" s="52" t="n"/>
      <c r="X62" s="53" t="str">
        <f>IF(AND(L62&lt;&gt;"",IF(ISNUMBER(U62),AND(U62&gt;=1,U62&lt;=10,U62=INT(U62)),FALSE),IF(ISNUMBER(V62),AND(V62&gt;=1,V62&lt;=10,V62=INT(V62)),FALSE),IF(ISNUMBER(W62),AND(W62&gt;=1,W62&lt;=10,W62=INT(W62)),FALSE)),U62*V62*W62,"")</f>
        <v/>
      </c>
      <c r="Y62" s="54" t="str">
        <f>IF(X62="","",IF(OR(U62&gt;=p_gmin,X62&gt;=p_ipr_crit),"Critique",IF(X62&gt;=p_ipr_act,"Élevée",IF(X62&gt;=p_ipr_watch,"Moyenne","Faible"))))</f>
        <v/>
      </c>
      <c r="Z62" s="57" t="str">
        <f>IF(X62="","",(L62-X62)/L62)</f>
        <v/>
      </c>
      <c r="AA62" s="54" t="str">
        <f>IF(AND(D62="",O62=""),"",IF(O62="",IF(N62="Oui","Action à définir",IF(N62="Non","Sans action","")),IF(R62="Annulée","Annulée",IF(R62="Réalisée",IF(X62="","À réévaluer","Réalisée"),IF(N(Q62)=0,"Échéance manquante",IF(Q62&lt;p_today,"En retard",IF(Q62-p_today&lt;=p_alert,"Échéance proche","Dans les délais")))))))</f>
        <v/>
      </c>
      <c r="AB62" s="58" t="str">
        <f>IF(AND(A62="",B62="",D62="",F62="",H62="",K62="",O62=""),"",IF(D62="","Mode de défaillance manquant",IF(AND(A62&lt;&gt;"",COUNTIF(am_num,A62)&gt;1),"N° en double",IF(F62="","Gravité G manquante",IF(NOT(IF(ISNUMBER(F62),AND(F62&gt;=1,F62&lt;=10,F62=INT(F62)),FALSE)),"G : entier de 1 à 10",IF(H62="","Occurrence O manquante",IF(NOT(IF(ISNUMBER(H62),AND(H62&gt;=1,H62&lt;=10,H62=INT(H62)),FALSE)),"O : entier de 1 à 10",IF(K62="","Détection D manquante",IF(NOT(IF(ISNUMBER(K62),AND(K62&gt;=1,K62&lt;=10,K62=INT(K62)),FALSE)),"D : entier de 1 à 10",IF(G62="","Cause manquante",IF(AND(O62&lt;&gt;"",P62=""),"Responsable manquant",IF(AND(R62&lt;&gt;"",O62=""),"Statut sans action",IF(AND(R62="Réalisée",N(S62)=0),"Date de réalisation manquante",IF(AND(T62&lt;&gt;"",IF(ISNUMBER(T62),T62&lt;0,TRUE)),"Coût invalide",IF(AND(COUNTBLANK(U62:W62)&gt;0,COUNTBLANK(U62:W62)&lt;3),"Cotation après action incomplète",IF(AND(COUNTBLANK(U62:W62)=0,X62=""),"G', O', D' : entiers de 1 à 10",IF(AND(X62&lt;&gt;"",X62&gt;L62),"IPR après action plus élevé","OK")))))))))))))))))</f>
        <v/>
      </c>
      <c r="AC62" s="59" t="str">
        <f>IF(OR(AA62="En retard",AA62="Échéance proche",AA62="Dans les délais",AA62="Échéance manquante",AA62="Action à définir",AA62="À réévaluer"),IF(OR(plan_who="",P62=plan_who),IF(N(Q62)&gt;0,Q62,99999)*1000+ROW(),""),"")</f>
        <v/>
      </c>
      <c r="AD62" s="59" t="str">
        <f>IF(L62="","",L62*1000+1000-ROW())</f>
        <v/>
      </c>
      <c r="AE62" s="59" t="str">
        <f>IF(IF(AA62="En retard",1,IF(AA62="Action à définir",2,IF(AA62="Échéance manquante",3,IF(AA62="Échéance proche",4,IF(AA62="À réévaluer",5,0)))))=0,"",IF(AA62="En retard",1,IF(AA62="Action à définir",2,IF(AA62="Échéance manquante",3,IF(AA62="Échéance proche",4,IF(AA62="À réévaluer",5,0)))))*100000000+IF(N(Q62)&gt;0,Q62,99999)*1000+ROW())</f>
        <v/>
      </c>
      <c r="AF62" s="59" t="str">
        <f>IF(X62&lt;&gt;"",X62,L62)</f>
        <v/>
      </c>
      <c r="AG62" s="59" t="str">
        <f>IF(X62&lt;&gt;"",Y62,IF(L62&lt;&gt;"",M62,""))</f>
        <v/>
      </c>
      <c r="AH62" s="59" t="str">
        <f>IF(L62="","",IF(X62&lt;&gt;"",U62,F62))</f>
        <v/>
      </c>
      <c r="AI62" s="59" t="str">
        <f>IF(L62="","",IF(X62&lt;&gt;"",V62,H62))</f>
        <v/>
      </c>
    </row>
    <row r="63" ht="30" customHeight="1">
      <c r="A63" s="50" t="n"/>
      <c r="B63" s="51" t="n"/>
      <c r="C63" s="51" t="n"/>
      <c r="D63" s="51" t="n"/>
      <c r="E63" s="51" t="n"/>
      <c r="F63" s="52" t="n"/>
      <c r="G63" s="51" t="n"/>
      <c r="H63" s="52" t="n"/>
      <c r="I63" s="51" t="n"/>
      <c r="J63" s="51" t="n"/>
      <c r="K63" s="52" t="n"/>
      <c r="L63" s="53" t="str">
        <f>IF(AND(IF(ISNUMBER(F63),AND(F63&gt;=1,F63&lt;=10,F63=INT(F63)),FALSE),IF(ISNUMBER(H63),AND(H63&gt;=1,H63&lt;=10,H63=INT(H63)),FALSE),IF(ISNUMBER(K63),AND(K63&gt;=1,K63&lt;=10,K63=INT(K63)),FALSE)),F63*H63*K63,"")</f>
        <v/>
      </c>
      <c r="M63" s="54" t="str">
        <f>IF(L63="",IF(D63="","","À coter"),IF(OR(F63&gt;=p_gmin,L63&gt;=p_ipr_crit),"Critique",IF(L63&gt;=p_ipr_act,"Élevée",IF(L63&gt;=p_ipr_watch,"Moyenne","Faible"))))</f>
        <v/>
      </c>
      <c r="N63" s="54" t="str">
        <f>IF(OR(M63="",M63="À coter"),"",IF(OR(M63="Critique",M63="Élevée"),"Oui","Non"))</f>
        <v/>
      </c>
      <c r="O63" s="51" t="n"/>
      <c r="P63" s="51" t="n"/>
      <c r="Q63" s="55" t="n"/>
      <c r="R63" s="50" t="n"/>
      <c r="S63" s="55" t="n"/>
      <c r="T63" s="56" t="n"/>
      <c r="U63" s="52" t="n"/>
      <c r="V63" s="52" t="n"/>
      <c r="W63" s="52" t="n"/>
      <c r="X63" s="53" t="str">
        <f>IF(AND(L63&lt;&gt;"",IF(ISNUMBER(U63),AND(U63&gt;=1,U63&lt;=10,U63=INT(U63)),FALSE),IF(ISNUMBER(V63),AND(V63&gt;=1,V63&lt;=10,V63=INT(V63)),FALSE),IF(ISNUMBER(W63),AND(W63&gt;=1,W63&lt;=10,W63=INT(W63)),FALSE)),U63*V63*W63,"")</f>
        <v/>
      </c>
      <c r="Y63" s="54" t="str">
        <f>IF(X63="","",IF(OR(U63&gt;=p_gmin,X63&gt;=p_ipr_crit),"Critique",IF(X63&gt;=p_ipr_act,"Élevée",IF(X63&gt;=p_ipr_watch,"Moyenne","Faible"))))</f>
        <v/>
      </c>
      <c r="Z63" s="57" t="str">
        <f>IF(X63="","",(L63-X63)/L63)</f>
        <v/>
      </c>
      <c r="AA63" s="54" t="str">
        <f>IF(AND(D63="",O63=""),"",IF(O63="",IF(N63="Oui","Action à définir",IF(N63="Non","Sans action","")),IF(R63="Annulée","Annulée",IF(R63="Réalisée",IF(X63="","À réévaluer","Réalisée"),IF(N(Q63)=0,"Échéance manquante",IF(Q63&lt;p_today,"En retard",IF(Q63-p_today&lt;=p_alert,"Échéance proche","Dans les délais")))))))</f>
        <v/>
      </c>
      <c r="AB63" s="58" t="str">
        <f>IF(AND(A63="",B63="",D63="",F63="",H63="",K63="",O63=""),"",IF(D63="","Mode de défaillance manquant",IF(AND(A63&lt;&gt;"",COUNTIF(am_num,A63)&gt;1),"N° en double",IF(F63="","Gravité G manquante",IF(NOT(IF(ISNUMBER(F63),AND(F63&gt;=1,F63&lt;=10,F63=INT(F63)),FALSE)),"G : entier de 1 à 10",IF(H63="","Occurrence O manquante",IF(NOT(IF(ISNUMBER(H63),AND(H63&gt;=1,H63&lt;=10,H63=INT(H63)),FALSE)),"O : entier de 1 à 10",IF(K63="","Détection D manquante",IF(NOT(IF(ISNUMBER(K63),AND(K63&gt;=1,K63&lt;=10,K63=INT(K63)),FALSE)),"D : entier de 1 à 10",IF(G63="","Cause manquante",IF(AND(O63&lt;&gt;"",P63=""),"Responsable manquant",IF(AND(R63&lt;&gt;"",O63=""),"Statut sans action",IF(AND(R63="Réalisée",N(S63)=0),"Date de réalisation manquante",IF(AND(T63&lt;&gt;"",IF(ISNUMBER(T63),T63&lt;0,TRUE)),"Coût invalide",IF(AND(COUNTBLANK(U63:W63)&gt;0,COUNTBLANK(U63:W63)&lt;3),"Cotation après action incomplète",IF(AND(COUNTBLANK(U63:W63)=0,X63=""),"G', O', D' : entiers de 1 à 10",IF(AND(X63&lt;&gt;"",X63&gt;L63),"IPR après action plus élevé","OK")))))))))))))))))</f>
        <v/>
      </c>
      <c r="AC63" s="59" t="str">
        <f>IF(OR(AA63="En retard",AA63="Échéance proche",AA63="Dans les délais",AA63="Échéance manquante",AA63="Action à définir",AA63="À réévaluer"),IF(OR(plan_who="",P63=plan_who),IF(N(Q63)&gt;0,Q63,99999)*1000+ROW(),""),"")</f>
        <v/>
      </c>
      <c r="AD63" s="59" t="str">
        <f>IF(L63="","",L63*1000+1000-ROW())</f>
        <v/>
      </c>
      <c r="AE63" s="59" t="str">
        <f>IF(IF(AA63="En retard",1,IF(AA63="Action à définir",2,IF(AA63="Échéance manquante",3,IF(AA63="Échéance proche",4,IF(AA63="À réévaluer",5,0)))))=0,"",IF(AA63="En retard",1,IF(AA63="Action à définir",2,IF(AA63="Échéance manquante",3,IF(AA63="Échéance proche",4,IF(AA63="À réévaluer",5,0)))))*100000000+IF(N(Q63)&gt;0,Q63,99999)*1000+ROW())</f>
        <v/>
      </c>
      <c r="AF63" s="59" t="str">
        <f>IF(X63&lt;&gt;"",X63,L63)</f>
        <v/>
      </c>
      <c r="AG63" s="59" t="str">
        <f>IF(X63&lt;&gt;"",Y63,IF(L63&lt;&gt;"",M63,""))</f>
        <v/>
      </c>
      <c r="AH63" s="59" t="str">
        <f>IF(L63="","",IF(X63&lt;&gt;"",U63,F63))</f>
        <v/>
      </c>
      <c r="AI63" s="59" t="str">
        <f>IF(L63="","",IF(X63&lt;&gt;"",V63,H63))</f>
        <v/>
      </c>
    </row>
    <row r="64" ht="30" customHeight="1">
      <c r="A64" s="50" t="n"/>
      <c r="B64" s="51" t="n"/>
      <c r="C64" s="51" t="n"/>
      <c r="D64" s="51" t="n"/>
      <c r="E64" s="51" t="n"/>
      <c r="F64" s="52" t="n"/>
      <c r="G64" s="51" t="n"/>
      <c r="H64" s="52" t="n"/>
      <c r="I64" s="51" t="n"/>
      <c r="J64" s="51" t="n"/>
      <c r="K64" s="52" t="n"/>
      <c r="L64" s="53" t="str">
        <f>IF(AND(IF(ISNUMBER(F64),AND(F64&gt;=1,F64&lt;=10,F64=INT(F64)),FALSE),IF(ISNUMBER(H64),AND(H64&gt;=1,H64&lt;=10,H64=INT(H64)),FALSE),IF(ISNUMBER(K64),AND(K64&gt;=1,K64&lt;=10,K64=INT(K64)),FALSE)),F64*H64*K64,"")</f>
        <v/>
      </c>
      <c r="M64" s="54" t="str">
        <f>IF(L64="",IF(D64="","","À coter"),IF(OR(F64&gt;=p_gmin,L64&gt;=p_ipr_crit),"Critique",IF(L64&gt;=p_ipr_act,"Élevée",IF(L64&gt;=p_ipr_watch,"Moyenne","Faible"))))</f>
        <v/>
      </c>
      <c r="N64" s="54" t="str">
        <f>IF(OR(M64="",M64="À coter"),"",IF(OR(M64="Critique",M64="Élevée"),"Oui","Non"))</f>
        <v/>
      </c>
      <c r="O64" s="51" t="n"/>
      <c r="P64" s="51" t="n"/>
      <c r="Q64" s="55" t="n"/>
      <c r="R64" s="50" t="n"/>
      <c r="S64" s="55" t="n"/>
      <c r="T64" s="56" t="n"/>
      <c r="U64" s="52" t="n"/>
      <c r="V64" s="52" t="n"/>
      <c r="W64" s="52" t="n"/>
      <c r="X64" s="53" t="str">
        <f>IF(AND(L64&lt;&gt;"",IF(ISNUMBER(U64),AND(U64&gt;=1,U64&lt;=10,U64=INT(U64)),FALSE),IF(ISNUMBER(V64),AND(V64&gt;=1,V64&lt;=10,V64=INT(V64)),FALSE),IF(ISNUMBER(W64),AND(W64&gt;=1,W64&lt;=10,W64=INT(W64)),FALSE)),U64*V64*W64,"")</f>
        <v/>
      </c>
      <c r="Y64" s="54" t="str">
        <f>IF(X64="","",IF(OR(U64&gt;=p_gmin,X64&gt;=p_ipr_crit),"Critique",IF(X64&gt;=p_ipr_act,"Élevée",IF(X64&gt;=p_ipr_watch,"Moyenne","Faible"))))</f>
        <v/>
      </c>
      <c r="Z64" s="57" t="str">
        <f>IF(X64="","",(L64-X64)/L64)</f>
        <v/>
      </c>
      <c r="AA64" s="54" t="str">
        <f>IF(AND(D64="",O64=""),"",IF(O64="",IF(N64="Oui","Action à définir",IF(N64="Non","Sans action","")),IF(R64="Annulée","Annulée",IF(R64="Réalisée",IF(X64="","À réévaluer","Réalisée"),IF(N(Q64)=0,"Échéance manquante",IF(Q64&lt;p_today,"En retard",IF(Q64-p_today&lt;=p_alert,"Échéance proche","Dans les délais")))))))</f>
        <v/>
      </c>
      <c r="AB64" s="58" t="str">
        <f>IF(AND(A64="",B64="",D64="",F64="",H64="",K64="",O64=""),"",IF(D64="","Mode de défaillance manquant",IF(AND(A64&lt;&gt;"",COUNTIF(am_num,A64)&gt;1),"N° en double",IF(F64="","Gravité G manquante",IF(NOT(IF(ISNUMBER(F64),AND(F64&gt;=1,F64&lt;=10,F64=INT(F64)),FALSE)),"G : entier de 1 à 10",IF(H64="","Occurrence O manquante",IF(NOT(IF(ISNUMBER(H64),AND(H64&gt;=1,H64&lt;=10,H64=INT(H64)),FALSE)),"O : entier de 1 à 10",IF(K64="","Détection D manquante",IF(NOT(IF(ISNUMBER(K64),AND(K64&gt;=1,K64&lt;=10,K64=INT(K64)),FALSE)),"D : entier de 1 à 10",IF(G64="","Cause manquante",IF(AND(O64&lt;&gt;"",P64=""),"Responsable manquant",IF(AND(R64&lt;&gt;"",O64=""),"Statut sans action",IF(AND(R64="Réalisée",N(S64)=0),"Date de réalisation manquante",IF(AND(T64&lt;&gt;"",IF(ISNUMBER(T64),T64&lt;0,TRUE)),"Coût invalide",IF(AND(COUNTBLANK(U64:W64)&gt;0,COUNTBLANK(U64:W64)&lt;3),"Cotation après action incomplète",IF(AND(COUNTBLANK(U64:W64)=0,X64=""),"G', O', D' : entiers de 1 à 10",IF(AND(X64&lt;&gt;"",X64&gt;L64),"IPR après action plus élevé","OK")))))))))))))))))</f>
        <v/>
      </c>
      <c r="AC64" s="59" t="str">
        <f>IF(OR(AA64="En retard",AA64="Échéance proche",AA64="Dans les délais",AA64="Échéance manquante",AA64="Action à définir",AA64="À réévaluer"),IF(OR(plan_who="",P64=plan_who),IF(N(Q64)&gt;0,Q64,99999)*1000+ROW(),""),"")</f>
        <v/>
      </c>
      <c r="AD64" s="59" t="str">
        <f>IF(L64="","",L64*1000+1000-ROW())</f>
        <v/>
      </c>
      <c r="AE64" s="59" t="str">
        <f>IF(IF(AA64="En retard",1,IF(AA64="Action à définir",2,IF(AA64="Échéance manquante",3,IF(AA64="Échéance proche",4,IF(AA64="À réévaluer",5,0)))))=0,"",IF(AA64="En retard",1,IF(AA64="Action à définir",2,IF(AA64="Échéance manquante",3,IF(AA64="Échéance proche",4,IF(AA64="À réévaluer",5,0)))))*100000000+IF(N(Q64)&gt;0,Q64,99999)*1000+ROW())</f>
        <v/>
      </c>
      <c r="AF64" s="59" t="str">
        <f>IF(X64&lt;&gt;"",X64,L64)</f>
        <v/>
      </c>
      <c r="AG64" s="59" t="str">
        <f>IF(X64&lt;&gt;"",Y64,IF(L64&lt;&gt;"",M64,""))</f>
        <v/>
      </c>
      <c r="AH64" s="59" t="str">
        <f>IF(L64="","",IF(X64&lt;&gt;"",U64,F64))</f>
        <v/>
      </c>
      <c r="AI64" s="59" t="str">
        <f>IF(L64="","",IF(X64&lt;&gt;"",V64,H64))</f>
        <v/>
      </c>
    </row>
    <row r="65" ht="30" customHeight="1">
      <c r="A65" s="50" t="n"/>
      <c r="B65" s="51" t="n"/>
      <c r="C65" s="51" t="n"/>
      <c r="D65" s="51" t="n"/>
      <c r="E65" s="51" t="n"/>
      <c r="F65" s="52" t="n"/>
      <c r="G65" s="51" t="n"/>
      <c r="H65" s="52" t="n"/>
      <c r="I65" s="51" t="n"/>
      <c r="J65" s="51" t="n"/>
      <c r="K65" s="52" t="n"/>
      <c r="L65" s="53" t="str">
        <f>IF(AND(IF(ISNUMBER(F65),AND(F65&gt;=1,F65&lt;=10,F65=INT(F65)),FALSE),IF(ISNUMBER(H65),AND(H65&gt;=1,H65&lt;=10,H65=INT(H65)),FALSE),IF(ISNUMBER(K65),AND(K65&gt;=1,K65&lt;=10,K65=INT(K65)),FALSE)),F65*H65*K65,"")</f>
        <v/>
      </c>
      <c r="M65" s="54" t="str">
        <f>IF(L65="",IF(D65="","","À coter"),IF(OR(F65&gt;=p_gmin,L65&gt;=p_ipr_crit),"Critique",IF(L65&gt;=p_ipr_act,"Élevée",IF(L65&gt;=p_ipr_watch,"Moyenne","Faible"))))</f>
        <v/>
      </c>
      <c r="N65" s="54" t="str">
        <f>IF(OR(M65="",M65="À coter"),"",IF(OR(M65="Critique",M65="Élevée"),"Oui","Non"))</f>
        <v/>
      </c>
      <c r="O65" s="51" t="n"/>
      <c r="P65" s="51" t="n"/>
      <c r="Q65" s="55" t="n"/>
      <c r="R65" s="50" t="n"/>
      <c r="S65" s="55" t="n"/>
      <c r="T65" s="56" t="n"/>
      <c r="U65" s="52" t="n"/>
      <c r="V65" s="52" t="n"/>
      <c r="W65" s="52" t="n"/>
      <c r="X65" s="53" t="str">
        <f>IF(AND(L65&lt;&gt;"",IF(ISNUMBER(U65),AND(U65&gt;=1,U65&lt;=10,U65=INT(U65)),FALSE),IF(ISNUMBER(V65),AND(V65&gt;=1,V65&lt;=10,V65=INT(V65)),FALSE),IF(ISNUMBER(W65),AND(W65&gt;=1,W65&lt;=10,W65=INT(W65)),FALSE)),U65*V65*W65,"")</f>
        <v/>
      </c>
      <c r="Y65" s="54" t="str">
        <f>IF(X65="","",IF(OR(U65&gt;=p_gmin,X65&gt;=p_ipr_crit),"Critique",IF(X65&gt;=p_ipr_act,"Élevée",IF(X65&gt;=p_ipr_watch,"Moyenne","Faible"))))</f>
        <v/>
      </c>
      <c r="Z65" s="57" t="str">
        <f>IF(X65="","",(L65-X65)/L65)</f>
        <v/>
      </c>
      <c r="AA65" s="54" t="str">
        <f>IF(AND(D65="",O65=""),"",IF(O65="",IF(N65="Oui","Action à définir",IF(N65="Non","Sans action","")),IF(R65="Annulée","Annulée",IF(R65="Réalisée",IF(X65="","À réévaluer","Réalisée"),IF(N(Q65)=0,"Échéance manquante",IF(Q65&lt;p_today,"En retard",IF(Q65-p_today&lt;=p_alert,"Échéance proche","Dans les délais")))))))</f>
        <v/>
      </c>
      <c r="AB65" s="58" t="str">
        <f>IF(AND(A65="",B65="",D65="",F65="",H65="",K65="",O65=""),"",IF(D65="","Mode de défaillance manquant",IF(AND(A65&lt;&gt;"",COUNTIF(am_num,A65)&gt;1),"N° en double",IF(F65="","Gravité G manquante",IF(NOT(IF(ISNUMBER(F65),AND(F65&gt;=1,F65&lt;=10,F65=INT(F65)),FALSE)),"G : entier de 1 à 10",IF(H65="","Occurrence O manquante",IF(NOT(IF(ISNUMBER(H65),AND(H65&gt;=1,H65&lt;=10,H65=INT(H65)),FALSE)),"O : entier de 1 à 10",IF(K65="","Détection D manquante",IF(NOT(IF(ISNUMBER(K65),AND(K65&gt;=1,K65&lt;=10,K65=INT(K65)),FALSE)),"D : entier de 1 à 10",IF(G65="","Cause manquante",IF(AND(O65&lt;&gt;"",P65=""),"Responsable manquant",IF(AND(R65&lt;&gt;"",O65=""),"Statut sans action",IF(AND(R65="Réalisée",N(S65)=0),"Date de réalisation manquante",IF(AND(T65&lt;&gt;"",IF(ISNUMBER(T65),T65&lt;0,TRUE)),"Coût invalide",IF(AND(COUNTBLANK(U65:W65)&gt;0,COUNTBLANK(U65:W65)&lt;3),"Cotation après action incomplète",IF(AND(COUNTBLANK(U65:W65)=0,X65=""),"G', O', D' : entiers de 1 à 10",IF(AND(X65&lt;&gt;"",X65&gt;L65),"IPR après action plus élevé","OK")))))))))))))))))</f>
        <v/>
      </c>
      <c r="AC65" s="59" t="str">
        <f>IF(OR(AA65="En retard",AA65="Échéance proche",AA65="Dans les délais",AA65="Échéance manquante",AA65="Action à définir",AA65="À réévaluer"),IF(OR(plan_who="",P65=plan_who),IF(N(Q65)&gt;0,Q65,99999)*1000+ROW(),""),"")</f>
        <v/>
      </c>
      <c r="AD65" s="59" t="str">
        <f>IF(L65="","",L65*1000+1000-ROW())</f>
        <v/>
      </c>
      <c r="AE65" s="59" t="str">
        <f>IF(IF(AA65="En retard",1,IF(AA65="Action à définir",2,IF(AA65="Échéance manquante",3,IF(AA65="Échéance proche",4,IF(AA65="À réévaluer",5,0)))))=0,"",IF(AA65="En retard",1,IF(AA65="Action à définir",2,IF(AA65="Échéance manquante",3,IF(AA65="Échéance proche",4,IF(AA65="À réévaluer",5,0)))))*100000000+IF(N(Q65)&gt;0,Q65,99999)*1000+ROW())</f>
        <v/>
      </c>
      <c r="AF65" s="59" t="str">
        <f>IF(X65&lt;&gt;"",X65,L65)</f>
        <v/>
      </c>
      <c r="AG65" s="59" t="str">
        <f>IF(X65&lt;&gt;"",Y65,IF(L65&lt;&gt;"",M65,""))</f>
        <v/>
      </c>
      <c r="AH65" s="59" t="str">
        <f>IF(L65="","",IF(X65&lt;&gt;"",U65,F65))</f>
        <v/>
      </c>
      <c r="AI65" s="59" t="str">
        <f>IF(L65="","",IF(X65&lt;&gt;"",V65,H65))</f>
        <v/>
      </c>
    </row>
    <row r="66" ht="30" customHeight="1">
      <c r="A66" s="50" t="n"/>
      <c r="B66" s="51" t="n"/>
      <c r="C66" s="51" t="n"/>
      <c r="D66" s="51" t="n"/>
      <c r="E66" s="51" t="n"/>
      <c r="F66" s="52" t="n"/>
      <c r="G66" s="51" t="n"/>
      <c r="H66" s="52" t="n"/>
      <c r="I66" s="51" t="n"/>
      <c r="J66" s="51" t="n"/>
      <c r="K66" s="52" t="n"/>
      <c r="L66" s="53" t="str">
        <f>IF(AND(IF(ISNUMBER(F66),AND(F66&gt;=1,F66&lt;=10,F66=INT(F66)),FALSE),IF(ISNUMBER(H66),AND(H66&gt;=1,H66&lt;=10,H66=INT(H66)),FALSE),IF(ISNUMBER(K66),AND(K66&gt;=1,K66&lt;=10,K66=INT(K66)),FALSE)),F66*H66*K66,"")</f>
        <v/>
      </c>
      <c r="M66" s="54" t="str">
        <f>IF(L66="",IF(D66="","","À coter"),IF(OR(F66&gt;=p_gmin,L66&gt;=p_ipr_crit),"Critique",IF(L66&gt;=p_ipr_act,"Élevée",IF(L66&gt;=p_ipr_watch,"Moyenne","Faible"))))</f>
        <v/>
      </c>
      <c r="N66" s="54" t="str">
        <f>IF(OR(M66="",M66="À coter"),"",IF(OR(M66="Critique",M66="Élevée"),"Oui","Non"))</f>
        <v/>
      </c>
      <c r="O66" s="51" t="n"/>
      <c r="P66" s="51" t="n"/>
      <c r="Q66" s="55" t="n"/>
      <c r="R66" s="50" t="n"/>
      <c r="S66" s="55" t="n"/>
      <c r="T66" s="56" t="n"/>
      <c r="U66" s="52" t="n"/>
      <c r="V66" s="52" t="n"/>
      <c r="W66" s="52" t="n"/>
      <c r="X66" s="53" t="str">
        <f>IF(AND(L66&lt;&gt;"",IF(ISNUMBER(U66),AND(U66&gt;=1,U66&lt;=10,U66=INT(U66)),FALSE),IF(ISNUMBER(V66),AND(V66&gt;=1,V66&lt;=10,V66=INT(V66)),FALSE),IF(ISNUMBER(W66),AND(W66&gt;=1,W66&lt;=10,W66=INT(W66)),FALSE)),U66*V66*W66,"")</f>
        <v/>
      </c>
      <c r="Y66" s="54" t="str">
        <f>IF(X66="","",IF(OR(U66&gt;=p_gmin,X66&gt;=p_ipr_crit),"Critique",IF(X66&gt;=p_ipr_act,"Élevée",IF(X66&gt;=p_ipr_watch,"Moyenne","Faible"))))</f>
        <v/>
      </c>
      <c r="Z66" s="57" t="str">
        <f>IF(X66="","",(L66-X66)/L66)</f>
        <v/>
      </c>
      <c r="AA66" s="54" t="str">
        <f>IF(AND(D66="",O66=""),"",IF(O66="",IF(N66="Oui","Action à définir",IF(N66="Non","Sans action","")),IF(R66="Annulée","Annulée",IF(R66="Réalisée",IF(X66="","À réévaluer","Réalisée"),IF(N(Q66)=0,"Échéance manquante",IF(Q66&lt;p_today,"En retard",IF(Q66-p_today&lt;=p_alert,"Échéance proche","Dans les délais")))))))</f>
        <v/>
      </c>
      <c r="AB66" s="58" t="str">
        <f>IF(AND(A66="",B66="",D66="",F66="",H66="",K66="",O66=""),"",IF(D66="","Mode de défaillance manquant",IF(AND(A66&lt;&gt;"",COUNTIF(am_num,A66)&gt;1),"N° en double",IF(F66="","Gravité G manquante",IF(NOT(IF(ISNUMBER(F66),AND(F66&gt;=1,F66&lt;=10,F66=INT(F66)),FALSE)),"G : entier de 1 à 10",IF(H66="","Occurrence O manquante",IF(NOT(IF(ISNUMBER(H66),AND(H66&gt;=1,H66&lt;=10,H66=INT(H66)),FALSE)),"O : entier de 1 à 10",IF(K66="","Détection D manquante",IF(NOT(IF(ISNUMBER(K66),AND(K66&gt;=1,K66&lt;=10,K66=INT(K66)),FALSE)),"D : entier de 1 à 10",IF(G66="","Cause manquante",IF(AND(O66&lt;&gt;"",P66=""),"Responsable manquant",IF(AND(R66&lt;&gt;"",O66=""),"Statut sans action",IF(AND(R66="Réalisée",N(S66)=0),"Date de réalisation manquante",IF(AND(T66&lt;&gt;"",IF(ISNUMBER(T66),T66&lt;0,TRUE)),"Coût invalide",IF(AND(COUNTBLANK(U66:W66)&gt;0,COUNTBLANK(U66:W66)&lt;3),"Cotation après action incomplète",IF(AND(COUNTBLANK(U66:W66)=0,X66=""),"G', O', D' : entiers de 1 à 10",IF(AND(X66&lt;&gt;"",X66&gt;L66),"IPR après action plus élevé","OK")))))))))))))))))</f>
        <v/>
      </c>
      <c r="AC66" s="59" t="str">
        <f>IF(OR(AA66="En retard",AA66="Échéance proche",AA66="Dans les délais",AA66="Échéance manquante",AA66="Action à définir",AA66="À réévaluer"),IF(OR(plan_who="",P66=plan_who),IF(N(Q66)&gt;0,Q66,99999)*1000+ROW(),""),"")</f>
        <v/>
      </c>
      <c r="AD66" s="59" t="str">
        <f>IF(L66="","",L66*1000+1000-ROW())</f>
        <v/>
      </c>
      <c r="AE66" s="59" t="str">
        <f>IF(IF(AA66="En retard",1,IF(AA66="Action à définir",2,IF(AA66="Échéance manquante",3,IF(AA66="Échéance proche",4,IF(AA66="À réévaluer",5,0)))))=0,"",IF(AA66="En retard",1,IF(AA66="Action à définir",2,IF(AA66="Échéance manquante",3,IF(AA66="Échéance proche",4,IF(AA66="À réévaluer",5,0)))))*100000000+IF(N(Q66)&gt;0,Q66,99999)*1000+ROW())</f>
        <v/>
      </c>
      <c r="AF66" s="59" t="str">
        <f>IF(X66&lt;&gt;"",X66,L66)</f>
        <v/>
      </c>
      <c r="AG66" s="59" t="str">
        <f>IF(X66&lt;&gt;"",Y66,IF(L66&lt;&gt;"",M66,""))</f>
        <v/>
      </c>
      <c r="AH66" s="59" t="str">
        <f>IF(L66="","",IF(X66&lt;&gt;"",U66,F66))</f>
        <v/>
      </c>
      <c r="AI66" s="59" t="str">
        <f>IF(L66="","",IF(X66&lt;&gt;"",V66,H66))</f>
        <v/>
      </c>
    </row>
    <row r="67" ht="30" customHeight="1">
      <c r="A67" s="50" t="n"/>
      <c r="B67" s="51" t="n"/>
      <c r="C67" s="51" t="n"/>
      <c r="D67" s="51" t="n"/>
      <c r="E67" s="51" t="n"/>
      <c r="F67" s="52" t="n"/>
      <c r="G67" s="51" t="n"/>
      <c r="H67" s="52" t="n"/>
      <c r="I67" s="51" t="n"/>
      <c r="J67" s="51" t="n"/>
      <c r="K67" s="52" t="n"/>
      <c r="L67" s="53" t="str">
        <f>IF(AND(IF(ISNUMBER(F67),AND(F67&gt;=1,F67&lt;=10,F67=INT(F67)),FALSE),IF(ISNUMBER(H67),AND(H67&gt;=1,H67&lt;=10,H67=INT(H67)),FALSE),IF(ISNUMBER(K67),AND(K67&gt;=1,K67&lt;=10,K67=INT(K67)),FALSE)),F67*H67*K67,"")</f>
        <v/>
      </c>
      <c r="M67" s="54" t="str">
        <f>IF(L67="",IF(D67="","","À coter"),IF(OR(F67&gt;=p_gmin,L67&gt;=p_ipr_crit),"Critique",IF(L67&gt;=p_ipr_act,"Élevée",IF(L67&gt;=p_ipr_watch,"Moyenne","Faible"))))</f>
        <v/>
      </c>
      <c r="N67" s="54" t="str">
        <f>IF(OR(M67="",M67="À coter"),"",IF(OR(M67="Critique",M67="Élevée"),"Oui","Non"))</f>
        <v/>
      </c>
      <c r="O67" s="51" t="n"/>
      <c r="P67" s="51" t="n"/>
      <c r="Q67" s="55" t="n"/>
      <c r="R67" s="50" t="n"/>
      <c r="S67" s="55" t="n"/>
      <c r="T67" s="56" t="n"/>
      <c r="U67" s="52" t="n"/>
      <c r="V67" s="52" t="n"/>
      <c r="W67" s="52" t="n"/>
      <c r="X67" s="53" t="str">
        <f>IF(AND(L67&lt;&gt;"",IF(ISNUMBER(U67),AND(U67&gt;=1,U67&lt;=10,U67=INT(U67)),FALSE),IF(ISNUMBER(V67),AND(V67&gt;=1,V67&lt;=10,V67=INT(V67)),FALSE),IF(ISNUMBER(W67),AND(W67&gt;=1,W67&lt;=10,W67=INT(W67)),FALSE)),U67*V67*W67,"")</f>
        <v/>
      </c>
      <c r="Y67" s="54" t="str">
        <f>IF(X67="","",IF(OR(U67&gt;=p_gmin,X67&gt;=p_ipr_crit),"Critique",IF(X67&gt;=p_ipr_act,"Élevée",IF(X67&gt;=p_ipr_watch,"Moyenne","Faible"))))</f>
        <v/>
      </c>
      <c r="Z67" s="57" t="str">
        <f>IF(X67="","",(L67-X67)/L67)</f>
        <v/>
      </c>
      <c r="AA67" s="54" t="str">
        <f>IF(AND(D67="",O67=""),"",IF(O67="",IF(N67="Oui","Action à définir",IF(N67="Non","Sans action","")),IF(R67="Annulée","Annulée",IF(R67="Réalisée",IF(X67="","À réévaluer","Réalisée"),IF(N(Q67)=0,"Échéance manquante",IF(Q67&lt;p_today,"En retard",IF(Q67-p_today&lt;=p_alert,"Échéance proche","Dans les délais")))))))</f>
        <v/>
      </c>
      <c r="AB67" s="58" t="str">
        <f>IF(AND(A67="",B67="",D67="",F67="",H67="",K67="",O67=""),"",IF(D67="","Mode de défaillance manquant",IF(AND(A67&lt;&gt;"",COUNTIF(am_num,A67)&gt;1),"N° en double",IF(F67="","Gravité G manquante",IF(NOT(IF(ISNUMBER(F67),AND(F67&gt;=1,F67&lt;=10,F67=INT(F67)),FALSE)),"G : entier de 1 à 10",IF(H67="","Occurrence O manquante",IF(NOT(IF(ISNUMBER(H67),AND(H67&gt;=1,H67&lt;=10,H67=INT(H67)),FALSE)),"O : entier de 1 à 10",IF(K67="","Détection D manquante",IF(NOT(IF(ISNUMBER(K67),AND(K67&gt;=1,K67&lt;=10,K67=INT(K67)),FALSE)),"D : entier de 1 à 10",IF(G67="","Cause manquante",IF(AND(O67&lt;&gt;"",P67=""),"Responsable manquant",IF(AND(R67&lt;&gt;"",O67=""),"Statut sans action",IF(AND(R67="Réalisée",N(S67)=0),"Date de réalisation manquante",IF(AND(T67&lt;&gt;"",IF(ISNUMBER(T67),T67&lt;0,TRUE)),"Coût invalide",IF(AND(COUNTBLANK(U67:W67)&gt;0,COUNTBLANK(U67:W67)&lt;3),"Cotation après action incomplète",IF(AND(COUNTBLANK(U67:W67)=0,X67=""),"G', O', D' : entiers de 1 à 10",IF(AND(X67&lt;&gt;"",X67&gt;L67),"IPR après action plus élevé","OK")))))))))))))))))</f>
        <v/>
      </c>
      <c r="AC67" s="59" t="str">
        <f>IF(OR(AA67="En retard",AA67="Échéance proche",AA67="Dans les délais",AA67="Échéance manquante",AA67="Action à définir",AA67="À réévaluer"),IF(OR(plan_who="",P67=plan_who),IF(N(Q67)&gt;0,Q67,99999)*1000+ROW(),""),"")</f>
        <v/>
      </c>
      <c r="AD67" s="59" t="str">
        <f>IF(L67="","",L67*1000+1000-ROW())</f>
        <v/>
      </c>
      <c r="AE67" s="59" t="str">
        <f>IF(IF(AA67="En retard",1,IF(AA67="Action à définir",2,IF(AA67="Échéance manquante",3,IF(AA67="Échéance proche",4,IF(AA67="À réévaluer",5,0)))))=0,"",IF(AA67="En retard",1,IF(AA67="Action à définir",2,IF(AA67="Échéance manquante",3,IF(AA67="Échéance proche",4,IF(AA67="À réévaluer",5,0)))))*100000000+IF(N(Q67)&gt;0,Q67,99999)*1000+ROW())</f>
        <v/>
      </c>
      <c r="AF67" s="59" t="str">
        <f>IF(X67&lt;&gt;"",X67,L67)</f>
        <v/>
      </c>
      <c r="AG67" s="59" t="str">
        <f>IF(X67&lt;&gt;"",Y67,IF(L67&lt;&gt;"",M67,""))</f>
        <v/>
      </c>
      <c r="AH67" s="59" t="str">
        <f>IF(L67="","",IF(X67&lt;&gt;"",U67,F67))</f>
        <v/>
      </c>
      <c r="AI67" s="59" t="str">
        <f>IF(L67="","",IF(X67&lt;&gt;"",V67,H67))</f>
        <v/>
      </c>
    </row>
    <row r="68" ht="30" customHeight="1">
      <c r="A68" s="50" t="n"/>
      <c r="B68" s="51" t="n"/>
      <c r="C68" s="51" t="n"/>
      <c r="D68" s="51" t="n"/>
      <c r="E68" s="51" t="n"/>
      <c r="F68" s="52" t="n"/>
      <c r="G68" s="51" t="n"/>
      <c r="H68" s="52" t="n"/>
      <c r="I68" s="51" t="n"/>
      <c r="J68" s="51" t="n"/>
      <c r="K68" s="52" t="n"/>
      <c r="L68" s="53" t="str">
        <f>IF(AND(IF(ISNUMBER(F68),AND(F68&gt;=1,F68&lt;=10,F68=INT(F68)),FALSE),IF(ISNUMBER(H68),AND(H68&gt;=1,H68&lt;=10,H68=INT(H68)),FALSE),IF(ISNUMBER(K68),AND(K68&gt;=1,K68&lt;=10,K68=INT(K68)),FALSE)),F68*H68*K68,"")</f>
        <v/>
      </c>
      <c r="M68" s="54" t="str">
        <f>IF(L68="",IF(D68="","","À coter"),IF(OR(F68&gt;=p_gmin,L68&gt;=p_ipr_crit),"Critique",IF(L68&gt;=p_ipr_act,"Élevée",IF(L68&gt;=p_ipr_watch,"Moyenne","Faible"))))</f>
        <v/>
      </c>
      <c r="N68" s="54" t="str">
        <f>IF(OR(M68="",M68="À coter"),"",IF(OR(M68="Critique",M68="Élevée"),"Oui","Non"))</f>
        <v/>
      </c>
      <c r="O68" s="51" t="n"/>
      <c r="P68" s="51" t="n"/>
      <c r="Q68" s="55" t="n"/>
      <c r="R68" s="50" t="n"/>
      <c r="S68" s="55" t="n"/>
      <c r="T68" s="56" t="n"/>
      <c r="U68" s="52" t="n"/>
      <c r="V68" s="52" t="n"/>
      <c r="W68" s="52" t="n"/>
      <c r="X68" s="53" t="str">
        <f>IF(AND(L68&lt;&gt;"",IF(ISNUMBER(U68),AND(U68&gt;=1,U68&lt;=10,U68=INT(U68)),FALSE),IF(ISNUMBER(V68),AND(V68&gt;=1,V68&lt;=10,V68=INT(V68)),FALSE),IF(ISNUMBER(W68),AND(W68&gt;=1,W68&lt;=10,W68=INT(W68)),FALSE)),U68*V68*W68,"")</f>
        <v/>
      </c>
      <c r="Y68" s="54" t="str">
        <f>IF(X68="","",IF(OR(U68&gt;=p_gmin,X68&gt;=p_ipr_crit),"Critique",IF(X68&gt;=p_ipr_act,"Élevée",IF(X68&gt;=p_ipr_watch,"Moyenne","Faible"))))</f>
        <v/>
      </c>
      <c r="Z68" s="57" t="str">
        <f>IF(X68="","",(L68-X68)/L68)</f>
        <v/>
      </c>
      <c r="AA68" s="54" t="str">
        <f>IF(AND(D68="",O68=""),"",IF(O68="",IF(N68="Oui","Action à définir",IF(N68="Non","Sans action","")),IF(R68="Annulée","Annulée",IF(R68="Réalisée",IF(X68="","À réévaluer","Réalisée"),IF(N(Q68)=0,"Échéance manquante",IF(Q68&lt;p_today,"En retard",IF(Q68-p_today&lt;=p_alert,"Échéance proche","Dans les délais")))))))</f>
        <v/>
      </c>
      <c r="AB68" s="58" t="str">
        <f>IF(AND(A68="",B68="",D68="",F68="",H68="",K68="",O68=""),"",IF(D68="","Mode de défaillance manquant",IF(AND(A68&lt;&gt;"",COUNTIF(am_num,A68)&gt;1),"N° en double",IF(F68="","Gravité G manquante",IF(NOT(IF(ISNUMBER(F68),AND(F68&gt;=1,F68&lt;=10,F68=INT(F68)),FALSE)),"G : entier de 1 à 10",IF(H68="","Occurrence O manquante",IF(NOT(IF(ISNUMBER(H68),AND(H68&gt;=1,H68&lt;=10,H68=INT(H68)),FALSE)),"O : entier de 1 à 10",IF(K68="","Détection D manquante",IF(NOT(IF(ISNUMBER(K68),AND(K68&gt;=1,K68&lt;=10,K68=INT(K68)),FALSE)),"D : entier de 1 à 10",IF(G68="","Cause manquante",IF(AND(O68&lt;&gt;"",P68=""),"Responsable manquant",IF(AND(R68&lt;&gt;"",O68=""),"Statut sans action",IF(AND(R68="Réalisée",N(S68)=0),"Date de réalisation manquante",IF(AND(T68&lt;&gt;"",IF(ISNUMBER(T68),T68&lt;0,TRUE)),"Coût invalide",IF(AND(COUNTBLANK(U68:W68)&gt;0,COUNTBLANK(U68:W68)&lt;3),"Cotation après action incomplète",IF(AND(COUNTBLANK(U68:W68)=0,X68=""),"G', O', D' : entiers de 1 à 10",IF(AND(X68&lt;&gt;"",X68&gt;L68),"IPR après action plus élevé","OK")))))))))))))))))</f>
        <v/>
      </c>
      <c r="AC68" s="59" t="str">
        <f>IF(OR(AA68="En retard",AA68="Échéance proche",AA68="Dans les délais",AA68="Échéance manquante",AA68="Action à définir",AA68="À réévaluer"),IF(OR(plan_who="",P68=plan_who),IF(N(Q68)&gt;0,Q68,99999)*1000+ROW(),""),"")</f>
        <v/>
      </c>
      <c r="AD68" s="59" t="str">
        <f>IF(L68="","",L68*1000+1000-ROW())</f>
        <v/>
      </c>
      <c r="AE68" s="59" t="str">
        <f>IF(IF(AA68="En retard",1,IF(AA68="Action à définir",2,IF(AA68="Échéance manquante",3,IF(AA68="Échéance proche",4,IF(AA68="À réévaluer",5,0)))))=0,"",IF(AA68="En retard",1,IF(AA68="Action à définir",2,IF(AA68="Échéance manquante",3,IF(AA68="Échéance proche",4,IF(AA68="À réévaluer",5,0)))))*100000000+IF(N(Q68)&gt;0,Q68,99999)*1000+ROW())</f>
        <v/>
      </c>
      <c r="AF68" s="59" t="str">
        <f>IF(X68&lt;&gt;"",X68,L68)</f>
        <v/>
      </c>
      <c r="AG68" s="59" t="str">
        <f>IF(X68&lt;&gt;"",Y68,IF(L68&lt;&gt;"",M68,""))</f>
        <v/>
      </c>
      <c r="AH68" s="59" t="str">
        <f>IF(L68="","",IF(X68&lt;&gt;"",U68,F68))</f>
        <v/>
      </c>
      <c r="AI68" s="59" t="str">
        <f>IF(L68="","",IF(X68&lt;&gt;"",V68,H68))</f>
        <v/>
      </c>
    </row>
    <row r="69" ht="30" customHeight="1">
      <c r="A69" s="50" t="n"/>
      <c r="B69" s="51" t="n"/>
      <c r="C69" s="51" t="n"/>
      <c r="D69" s="51" t="n"/>
      <c r="E69" s="51" t="n"/>
      <c r="F69" s="52" t="n"/>
      <c r="G69" s="51" t="n"/>
      <c r="H69" s="52" t="n"/>
      <c r="I69" s="51" t="n"/>
      <c r="J69" s="51" t="n"/>
      <c r="K69" s="52" t="n"/>
      <c r="L69" s="53" t="str">
        <f>IF(AND(IF(ISNUMBER(F69),AND(F69&gt;=1,F69&lt;=10,F69=INT(F69)),FALSE),IF(ISNUMBER(H69),AND(H69&gt;=1,H69&lt;=10,H69=INT(H69)),FALSE),IF(ISNUMBER(K69),AND(K69&gt;=1,K69&lt;=10,K69=INT(K69)),FALSE)),F69*H69*K69,"")</f>
        <v/>
      </c>
      <c r="M69" s="54" t="str">
        <f>IF(L69="",IF(D69="","","À coter"),IF(OR(F69&gt;=p_gmin,L69&gt;=p_ipr_crit),"Critique",IF(L69&gt;=p_ipr_act,"Élevée",IF(L69&gt;=p_ipr_watch,"Moyenne","Faible"))))</f>
        <v/>
      </c>
      <c r="N69" s="54" t="str">
        <f>IF(OR(M69="",M69="À coter"),"",IF(OR(M69="Critique",M69="Élevée"),"Oui","Non"))</f>
        <v/>
      </c>
      <c r="O69" s="51" t="n"/>
      <c r="P69" s="51" t="n"/>
      <c r="Q69" s="55" t="n"/>
      <c r="R69" s="50" t="n"/>
      <c r="S69" s="55" t="n"/>
      <c r="T69" s="56" t="n"/>
      <c r="U69" s="52" t="n"/>
      <c r="V69" s="52" t="n"/>
      <c r="W69" s="52" t="n"/>
      <c r="X69" s="53" t="str">
        <f>IF(AND(L69&lt;&gt;"",IF(ISNUMBER(U69),AND(U69&gt;=1,U69&lt;=10,U69=INT(U69)),FALSE),IF(ISNUMBER(V69),AND(V69&gt;=1,V69&lt;=10,V69=INT(V69)),FALSE),IF(ISNUMBER(W69),AND(W69&gt;=1,W69&lt;=10,W69=INT(W69)),FALSE)),U69*V69*W69,"")</f>
        <v/>
      </c>
      <c r="Y69" s="54" t="str">
        <f>IF(X69="","",IF(OR(U69&gt;=p_gmin,X69&gt;=p_ipr_crit),"Critique",IF(X69&gt;=p_ipr_act,"Élevée",IF(X69&gt;=p_ipr_watch,"Moyenne","Faible"))))</f>
        <v/>
      </c>
      <c r="Z69" s="57" t="str">
        <f>IF(X69="","",(L69-X69)/L69)</f>
        <v/>
      </c>
      <c r="AA69" s="54" t="str">
        <f>IF(AND(D69="",O69=""),"",IF(O69="",IF(N69="Oui","Action à définir",IF(N69="Non","Sans action","")),IF(R69="Annulée","Annulée",IF(R69="Réalisée",IF(X69="","À réévaluer","Réalisée"),IF(N(Q69)=0,"Échéance manquante",IF(Q69&lt;p_today,"En retard",IF(Q69-p_today&lt;=p_alert,"Échéance proche","Dans les délais")))))))</f>
        <v/>
      </c>
      <c r="AB69" s="58" t="str">
        <f>IF(AND(A69="",B69="",D69="",F69="",H69="",K69="",O69=""),"",IF(D69="","Mode de défaillance manquant",IF(AND(A69&lt;&gt;"",COUNTIF(am_num,A69)&gt;1),"N° en double",IF(F69="","Gravité G manquante",IF(NOT(IF(ISNUMBER(F69),AND(F69&gt;=1,F69&lt;=10,F69=INT(F69)),FALSE)),"G : entier de 1 à 10",IF(H69="","Occurrence O manquante",IF(NOT(IF(ISNUMBER(H69),AND(H69&gt;=1,H69&lt;=10,H69=INT(H69)),FALSE)),"O : entier de 1 à 10",IF(K69="","Détection D manquante",IF(NOT(IF(ISNUMBER(K69),AND(K69&gt;=1,K69&lt;=10,K69=INT(K69)),FALSE)),"D : entier de 1 à 10",IF(G69="","Cause manquante",IF(AND(O69&lt;&gt;"",P69=""),"Responsable manquant",IF(AND(R69&lt;&gt;"",O69=""),"Statut sans action",IF(AND(R69="Réalisée",N(S69)=0),"Date de réalisation manquante",IF(AND(T69&lt;&gt;"",IF(ISNUMBER(T69),T69&lt;0,TRUE)),"Coût invalide",IF(AND(COUNTBLANK(U69:W69)&gt;0,COUNTBLANK(U69:W69)&lt;3),"Cotation après action incomplète",IF(AND(COUNTBLANK(U69:W69)=0,X69=""),"G', O', D' : entiers de 1 à 10",IF(AND(X69&lt;&gt;"",X69&gt;L69),"IPR après action plus élevé","OK")))))))))))))))))</f>
        <v/>
      </c>
      <c r="AC69" s="59" t="str">
        <f>IF(OR(AA69="En retard",AA69="Échéance proche",AA69="Dans les délais",AA69="Échéance manquante",AA69="Action à définir",AA69="À réévaluer"),IF(OR(plan_who="",P69=plan_who),IF(N(Q69)&gt;0,Q69,99999)*1000+ROW(),""),"")</f>
        <v/>
      </c>
      <c r="AD69" s="59" t="str">
        <f>IF(L69="","",L69*1000+1000-ROW())</f>
        <v/>
      </c>
      <c r="AE69" s="59" t="str">
        <f>IF(IF(AA69="En retard",1,IF(AA69="Action à définir",2,IF(AA69="Échéance manquante",3,IF(AA69="Échéance proche",4,IF(AA69="À réévaluer",5,0)))))=0,"",IF(AA69="En retard",1,IF(AA69="Action à définir",2,IF(AA69="Échéance manquante",3,IF(AA69="Échéance proche",4,IF(AA69="À réévaluer",5,0)))))*100000000+IF(N(Q69)&gt;0,Q69,99999)*1000+ROW())</f>
        <v/>
      </c>
      <c r="AF69" s="59" t="str">
        <f>IF(X69&lt;&gt;"",X69,L69)</f>
        <v/>
      </c>
      <c r="AG69" s="59" t="str">
        <f>IF(X69&lt;&gt;"",Y69,IF(L69&lt;&gt;"",M69,""))</f>
        <v/>
      </c>
      <c r="AH69" s="59" t="str">
        <f>IF(L69="","",IF(X69&lt;&gt;"",U69,F69))</f>
        <v/>
      </c>
      <c r="AI69" s="59" t="str">
        <f>IF(L69="","",IF(X69&lt;&gt;"",V69,H69))</f>
        <v/>
      </c>
    </row>
    <row r="70" ht="30" customHeight="1">
      <c r="A70" s="50" t="n"/>
      <c r="B70" s="51" t="n"/>
      <c r="C70" s="51" t="n"/>
      <c r="D70" s="51" t="n"/>
      <c r="E70" s="51" t="n"/>
      <c r="F70" s="52" t="n"/>
      <c r="G70" s="51" t="n"/>
      <c r="H70" s="52" t="n"/>
      <c r="I70" s="51" t="n"/>
      <c r="J70" s="51" t="n"/>
      <c r="K70" s="52" t="n"/>
      <c r="L70" s="53" t="str">
        <f>IF(AND(IF(ISNUMBER(F70),AND(F70&gt;=1,F70&lt;=10,F70=INT(F70)),FALSE),IF(ISNUMBER(H70),AND(H70&gt;=1,H70&lt;=10,H70=INT(H70)),FALSE),IF(ISNUMBER(K70),AND(K70&gt;=1,K70&lt;=10,K70=INT(K70)),FALSE)),F70*H70*K70,"")</f>
        <v/>
      </c>
      <c r="M70" s="54" t="str">
        <f>IF(L70="",IF(D70="","","À coter"),IF(OR(F70&gt;=p_gmin,L70&gt;=p_ipr_crit),"Critique",IF(L70&gt;=p_ipr_act,"Élevée",IF(L70&gt;=p_ipr_watch,"Moyenne","Faible"))))</f>
        <v/>
      </c>
      <c r="N70" s="54" t="str">
        <f>IF(OR(M70="",M70="À coter"),"",IF(OR(M70="Critique",M70="Élevée"),"Oui","Non"))</f>
        <v/>
      </c>
      <c r="O70" s="51" t="n"/>
      <c r="P70" s="51" t="n"/>
      <c r="Q70" s="55" t="n"/>
      <c r="R70" s="50" t="n"/>
      <c r="S70" s="55" t="n"/>
      <c r="T70" s="56" t="n"/>
      <c r="U70" s="52" t="n"/>
      <c r="V70" s="52" t="n"/>
      <c r="W70" s="52" t="n"/>
      <c r="X70" s="53" t="str">
        <f>IF(AND(L70&lt;&gt;"",IF(ISNUMBER(U70),AND(U70&gt;=1,U70&lt;=10,U70=INT(U70)),FALSE),IF(ISNUMBER(V70),AND(V70&gt;=1,V70&lt;=10,V70=INT(V70)),FALSE),IF(ISNUMBER(W70),AND(W70&gt;=1,W70&lt;=10,W70=INT(W70)),FALSE)),U70*V70*W70,"")</f>
        <v/>
      </c>
      <c r="Y70" s="54" t="str">
        <f>IF(X70="","",IF(OR(U70&gt;=p_gmin,X70&gt;=p_ipr_crit),"Critique",IF(X70&gt;=p_ipr_act,"Élevée",IF(X70&gt;=p_ipr_watch,"Moyenne","Faible"))))</f>
        <v/>
      </c>
      <c r="Z70" s="57" t="str">
        <f>IF(X70="","",(L70-X70)/L70)</f>
        <v/>
      </c>
      <c r="AA70" s="54" t="str">
        <f>IF(AND(D70="",O70=""),"",IF(O70="",IF(N70="Oui","Action à définir",IF(N70="Non","Sans action","")),IF(R70="Annulée","Annulée",IF(R70="Réalisée",IF(X70="","À réévaluer","Réalisée"),IF(N(Q70)=0,"Échéance manquante",IF(Q70&lt;p_today,"En retard",IF(Q70-p_today&lt;=p_alert,"Échéance proche","Dans les délais")))))))</f>
        <v/>
      </c>
      <c r="AB70" s="58" t="str">
        <f>IF(AND(A70="",B70="",D70="",F70="",H70="",K70="",O70=""),"",IF(D70="","Mode de défaillance manquant",IF(AND(A70&lt;&gt;"",COUNTIF(am_num,A70)&gt;1),"N° en double",IF(F70="","Gravité G manquante",IF(NOT(IF(ISNUMBER(F70),AND(F70&gt;=1,F70&lt;=10,F70=INT(F70)),FALSE)),"G : entier de 1 à 10",IF(H70="","Occurrence O manquante",IF(NOT(IF(ISNUMBER(H70),AND(H70&gt;=1,H70&lt;=10,H70=INT(H70)),FALSE)),"O : entier de 1 à 10",IF(K70="","Détection D manquante",IF(NOT(IF(ISNUMBER(K70),AND(K70&gt;=1,K70&lt;=10,K70=INT(K70)),FALSE)),"D : entier de 1 à 10",IF(G70="","Cause manquante",IF(AND(O70&lt;&gt;"",P70=""),"Responsable manquant",IF(AND(R70&lt;&gt;"",O70=""),"Statut sans action",IF(AND(R70="Réalisée",N(S70)=0),"Date de réalisation manquante",IF(AND(T70&lt;&gt;"",IF(ISNUMBER(T70),T70&lt;0,TRUE)),"Coût invalide",IF(AND(COUNTBLANK(U70:W70)&gt;0,COUNTBLANK(U70:W70)&lt;3),"Cotation après action incomplète",IF(AND(COUNTBLANK(U70:W70)=0,X70=""),"G', O', D' : entiers de 1 à 10",IF(AND(X70&lt;&gt;"",X70&gt;L70),"IPR après action plus élevé","OK")))))))))))))))))</f>
        <v/>
      </c>
      <c r="AC70" s="59" t="str">
        <f>IF(OR(AA70="En retard",AA70="Échéance proche",AA70="Dans les délais",AA70="Échéance manquante",AA70="Action à définir",AA70="À réévaluer"),IF(OR(plan_who="",P70=plan_who),IF(N(Q70)&gt;0,Q70,99999)*1000+ROW(),""),"")</f>
        <v/>
      </c>
      <c r="AD70" s="59" t="str">
        <f>IF(L70="","",L70*1000+1000-ROW())</f>
        <v/>
      </c>
      <c r="AE70" s="59" t="str">
        <f>IF(IF(AA70="En retard",1,IF(AA70="Action à définir",2,IF(AA70="Échéance manquante",3,IF(AA70="Échéance proche",4,IF(AA70="À réévaluer",5,0)))))=0,"",IF(AA70="En retard",1,IF(AA70="Action à définir",2,IF(AA70="Échéance manquante",3,IF(AA70="Échéance proche",4,IF(AA70="À réévaluer",5,0)))))*100000000+IF(N(Q70)&gt;0,Q70,99999)*1000+ROW())</f>
        <v/>
      </c>
      <c r="AF70" s="59" t="str">
        <f>IF(X70&lt;&gt;"",X70,L70)</f>
        <v/>
      </c>
      <c r="AG70" s="59" t="str">
        <f>IF(X70&lt;&gt;"",Y70,IF(L70&lt;&gt;"",M70,""))</f>
        <v/>
      </c>
      <c r="AH70" s="59" t="str">
        <f>IF(L70="","",IF(X70&lt;&gt;"",U70,F70))</f>
        <v/>
      </c>
      <c r="AI70" s="59" t="str">
        <f>IF(L70="","",IF(X70&lt;&gt;"",V70,H70))</f>
        <v/>
      </c>
    </row>
    <row r="71" ht="30" customHeight="1">
      <c r="A71" s="50" t="n"/>
      <c r="B71" s="51" t="n"/>
      <c r="C71" s="51" t="n"/>
      <c r="D71" s="51" t="n"/>
      <c r="E71" s="51" t="n"/>
      <c r="F71" s="52" t="n"/>
      <c r="G71" s="51" t="n"/>
      <c r="H71" s="52" t="n"/>
      <c r="I71" s="51" t="n"/>
      <c r="J71" s="51" t="n"/>
      <c r="K71" s="52" t="n"/>
      <c r="L71" s="53" t="str">
        <f>IF(AND(IF(ISNUMBER(F71),AND(F71&gt;=1,F71&lt;=10,F71=INT(F71)),FALSE),IF(ISNUMBER(H71),AND(H71&gt;=1,H71&lt;=10,H71=INT(H71)),FALSE),IF(ISNUMBER(K71),AND(K71&gt;=1,K71&lt;=10,K71=INT(K71)),FALSE)),F71*H71*K71,"")</f>
        <v/>
      </c>
      <c r="M71" s="54" t="str">
        <f>IF(L71="",IF(D71="","","À coter"),IF(OR(F71&gt;=p_gmin,L71&gt;=p_ipr_crit),"Critique",IF(L71&gt;=p_ipr_act,"Élevée",IF(L71&gt;=p_ipr_watch,"Moyenne","Faible"))))</f>
        <v/>
      </c>
      <c r="N71" s="54" t="str">
        <f>IF(OR(M71="",M71="À coter"),"",IF(OR(M71="Critique",M71="Élevée"),"Oui","Non"))</f>
        <v/>
      </c>
      <c r="O71" s="51" t="n"/>
      <c r="P71" s="51" t="n"/>
      <c r="Q71" s="55" t="n"/>
      <c r="R71" s="50" t="n"/>
      <c r="S71" s="55" t="n"/>
      <c r="T71" s="56" t="n"/>
      <c r="U71" s="52" t="n"/>
      <c r="V71" s="52" t="n"/>
      <c r="W71" s="52" t="n"/>
      <c r="X71" s="53" t="str">
        <f>IF(AND(L71&lt;&gt;"",IF(ISNUMBER(U71),AND(U71&gt;=1,U71&lt;=10,U71=INT(U71)),FALSE),IF(ISNUMBER(V71),AND(V71&gt;=1,V71&lt;=10,V71=INT(V71)),FALSE),IF(ISNUMBER(W71),AND(W71&gt;=1,W71&lt;=10,W71=INT(W71)),FALSE)),U71*V71*W71,"")</f>
        <v/>
      </c>
      <c r="Y71" s="54" t="str">
        <f>IF(X71="","",IF(OR(U71&gt;=p_gmin,X71&gt;=p_ipr_crit),"Critique",IF(X71&gt;=p_ipr_act,"Élevée",IF(X71&gt;=p_ipr_watch,"Moyenne","Faible"))))</f>
        <v/>
      </c>
      <c r="Z71" s="57" t="str">
        <f>IF(X71="","",(L71-X71)/L71)</f>
        <v/>
      </c>
      <c r="AA71" s="54" t="str">
        <f>IF(AND(D71="",O71=""),"",IF(O71="",IF(N71="Oui","Action à définir",IF(N71="Non","Sans action","")),IF(R71="Annulée","Annulée",IF(R71="Réalisée",IF(X71="","À réévaluer","Réalisée"),IF(N(Q71)=0,"Échéance manquante",IF(Q71&lt;p_today,"En retard",IF(Q71-p_today&lt;=p_alert,"Échéance proche","Dans les délais")))))))</f>
        <v/>
      </c>
      <c r="AB71" s="58" t="str">
        <f>IF(AND(A71="",B71="",D71="",F71="",H71="",K71="",O71=""),"",IF(D71="","Mode de défaillance manquant",IF(AND(A71&lt;&gt;"",COUNTIF(am_num,A71)&gt;1),"N° en double",IF(F71="","Gravité G manquante",IF(NOT(IF(ISNUMBER(F71),AND(F71&gt;=1,F71&lt;=10,F71=INT(F71)),FALSE)),"G : entier de 1 à 10",IF(H71="","Occurrence O manquante",IF(NOT(IF(ISNUMBER(H71),AND(H71&gt;=1,H71&lt;=10,H71=INT(H71)),FALSE)),"O : entier de 1 à 10",IF(K71="","Détection D manquante",IF(NOT(IF(ISNUMBER(K71),AND(K71&gt;=1,K71&lt;=10,K71=INT(K71)),FALSE)),"D : entier de 1 à 10",IF(G71="","Cause manquante",IF(AND(O71&lt;&gt;"",P71=""),"Responsable manquant",IF(AND(R71&lt;&gt;"",O71=""),"Statut sans action",IF(AND(R71="Réalisée",N(S71)=0),"Date de réalisation manquante",IF(AND(T71&lt;&gt;"",IF(ISNUMBER(T71),T71&lt;0,TRUE)),"Coût invalide",IF(AND(COUNTBLANK(U71:W71)&gt;0,COUNTBLANK(U71:W71)&lt;3),"Cotation après action incomplète",IF(AND(COUNTBLANK(U71:W71)=0,X71=""),"G', O', D' : entiers de 1 à 10",IF(AND(X71&lt;&gt;"",X71&gt;L71),"IPR après action plus élevé","OK")))))))))))))))))</f>
        <v/>
      </c>
      <c r="AC71" s="59" t="str">
        <f>IF(OR(AA71="En retard",AA71="Échéance proche",AA71="Dans les délais",AA71="Échéance manquante",AA71="Action à définir",AA71="À réévaluer"),IF(OR(plan_who="",P71=plan_who),IF(N(Q71)&gt;0,Q71,99999)*1000+ROW(),""),"")</f>
        <v/>
      </c>
      <c r="AD71" s="59" t="str">
        <f>IF(L71="","",L71*1000+1000-ROW())</f>
        <v/>
      </c>
      <c r="AE71" s="59" t="str">
        <f>IF(IF(AA71="En retard",1,IF(AA71="Action à définir",2,IF(AA71="Échéance manquante",3,IF(AA71="Échéance proche",4,IF(AA71="À réévaluer",5,0)))))=0,"",IF(AA71="En retard",1,IF(AA71="Action à définir",2,IF(AA71="Échéance manquante",3,IF(AA71="Échéance proche",4,IF(AA71="À réévaluer",5,0)))))*100000000+IF(N(Q71)&gt;0,Q71,99999)*1000+ROW())</f>
        <v/>
      </c>
      <c r="AF71" s="59" t="str">
        <f>IF(X71&lt;&gt;"",X71,L71)</f>
        <v/>
      </c>
      <c r="AG71" s="59" t="str">
        <f>IF(X71&lt;&gt;"",Y71,IF(L71&lt;&gt;"",M71,""))</f>
        <v/>
      </c>
      <c r="AH71" s="59" t="str">
        <f>IF(L71="","",IF(X71&lt;&gt;"",U71,F71))</f>
        <v/>
      </c>
      <c r="AI71" s="59" t="str">
        <f>IF(L71="","",IF(X71&lt;&gt;"",V71,H71))</f>
        <v/>
      </c>
    </row>
    <row r="72" ht="30" customHeight="1">
      <c r="A72" s="50" t="n"/>
      <c r="B72" s="51" t="n"/>
      <c r="C72" s="51" t="n"/>
      <c r="D72" s="51" t="n"/>
      <c r="E72" s="51" t="n"/>
      <c r="F72" s="52" t="n"/>
      <c r="G72" s="51" t="n"/>
      <c r="H72" s="52" t="n"/>
      <c r="I72" s="51" t="n"/>
      <c r="J72" s="51" t="n"/>
      <c r="K72" s="52" t="n"/>
      <c r="L72" s="53" t="str">
        <f>IF(AND(IF(ISNUMBER(F72),AND(F72&gt;=1,F72&lt;=10,F72=INT(F72)),FALSE),IF(ISNUMBER(H72),AND(H72&gt;=1,H72&lt;=10,H72=INT(H72)),FALSE),IF(ISNUMBER(K72),AND(K72&gt;=1,K72&lt;=10,K72=INT(K72)),FALSE)),F72*H72*K72,"")</f>
        <v/>
      </c>
      <c r="M72" s="54" t="str">
        <f>IF(L72="",IF(D72="","","À coter"),IF(OR(F72&gt;=p_gmin,L72&gt;=p_ipr_crit),"Critique",IF(L72&gt;=p_ipr_act,"Élevée",IF(L72&gt;=p_ipr_watch,"Moyenne","Faible"))))</f>
        <v/>
      </c>
      <c r="N72" s="54" t="str">
        <f>IF(OR(M72="",M72="À coter"),"",IF(OR(M72="Critique",M72="Élevée"),"Oui","Non"))</f>
        <v/>
      </c>
      <c r="O72" s="51" t="n"/>
      <c r="P72" s="51" t="n"/>
      <c r="Q72" s="55" t="n"/>
      <c r="R72" s="50" t="n"/>
      <c r="S72" s="55" t="n"/>
      <c r="T72" s="56" t="n"/>
      <c r="U72" s="52" t="n"/>
      <c r="V72" s="52" t="n"/>
      <c r="W72" s="52" t="n"/>
      <c r="X72" s="53" t="str">
        <f>IF(AND(L72&lt;&gt;"",IF(ISNUMBER(U72),AND(U72&gt;=1,U72&lt;=10,U72=INT(U72)),FALSE),IF(ISNUMBER(V72),AND(V72&gt;=1,V72&lt;=10,V72=INT(V72)),FALSE),IF(ISNUMBER(W72),AND(W72&gt;=1,W72&lt;=10,W72=INT(W72)),FALSE)),U72*V72*W72,"")</f>
        <v/>
      </c>
      <c r="Y72" s="54" t="str">
        <f>IF(X72="","",IF(OR(U72&gt;=p_gmin,X72&gt;=p_ipr_crit),"Critique",IF(X72&gt;=p_ipr_act,"Élevée",IF(X72&gt;=p_ipr_watch,"Moyenne","Faible"))))</f>
        <v/>
      </c>
      <c r="Z72" s="57" t="str">
        <f>IF(X72="","",(L72-X72)/L72)</f>
        <v/>
      </c>
      <c r="AA72" s="54" t="str">
        <f>IF(AND(D72="",O72=""),"",IF(O72="",IF(N72="Oui","Action à définir",IF(N72="Non","Sans action","")),IF(R72="Annulée","Annulée",IF(R72="Réalisée",IF(X72="","À réévaluer","Réalisée"),IF(N(Q72)=0,"Échéance manquante",IF(Q72&lt;p_today,"En retard",IF(Q72-p_today&lt;=p_alert,"Échéance proche","Dans les délais")))))))</f>
        <v/>
      </c>
      <c r="AB72" s="58" t="str">
        <f>IF(AND(A72="",B72="",D72="",F72="",H72="",K72="",O72=""),"",IF(D72="","Mode de défaillance manquant",IF(AND(A72&lt;&gt;"",COUNTIF(am_num,A72)&gt;1),"N° en double",IF(F72="","Gravité G manquante",IF(NOT(IF(ISNUMBER(F72),AND(F72&gt;=1,F72&lt;=10,F72=INT(F72)),FALSE)),"G : entier de 1 à 10",IF(H72="","Occurrence O manquante",IF(NOT(IF(ISNUMBER(H72),AND(H72&gt;=1,H72&lt;=10,H72=INT(H72)),FALSE)),"O : entier de 1 à 10",IF(K72="","Détection D manquante",IF(NOT(IF(ISNUMBER(K72),AND(K72&gt;=1,K72&lt;=10,K72=INT(K72)),FALSE)),"D : entier de 1 à 10",IF(G72="","Cause manquante",IF(AND(O72&lt;&gt;"",P72=""),"Responsable manquant",IF(AND(R72&lt;&gt;"",O72=""),"Statut sans action",IF(AND(R72="Réalisée",N(S72)=0),"Date de réalisation manquante",IF(AND(T72&lt;&gt;"",IF(ISNUMBER(T72),T72&lt;0,TRUE)),"Coût invalide",IF(AND(COUNTBLANK(U72:W72)&gt;0,COUNTBLANK(U72:W72)&lt;3),"Cotation après action incomplète",IF(AND(COUNTBLANK(U72:W72)=0,X72=""),"G', O', D' : entiers de 1 à 10",IF(AND(X72&lt;&gt;"",X72&gt;L72),"IPR après action plus élevé","OK")))))))))))))))))</f>
        <v/>
      </c>
      <c r="AC72" s="59" t="str">
        <f>IF(OR(AA72="En retard",AA72="Échéance proche",AA72="Dans les délais",AA72="Échéance manquante",AA72="Action à définir",AA72="À réévaluer"),IF(OR(plan_who="",P72=plan_who),IF(N(Q72)&gt;0,Q72,99999)*1000+ROW(),""),"")</f>
        <v/>
      </c>
      <c r="AD72" s="59" t="str">
        <f>IF(L72="","",L72*1000+1000-ROW())</f>
        <v/>
      </c>
      <c r="AE72" s="59" t="str">
        <f>IF(IF(AA72="En retard",1,IF(AA72="Action à définir",2,IF(AA72="Échéance manquante",3,IF(AA72="Échéance proche",4,IF(AA72="À réévaluer",5,0)))))=0,"",IF(AA72="En retard",1,IF(AA72="Action à définir",2,IF(AA72="Échéance manquante",3,IF(AA72="Échéance proche",4,IF(AA72="À réévaluer",5,0)))))*100000000+IF(N(Q72)&gt;0,Q72,99999)*1000+ROW())</f>
        <v/>
      </c>
      <c r="AF72" s="59" t="str">
        <f>IF(X72&lt;&gt;"",X72,L72)</f>
        <v/>
      </c>
      <c r="AG72" s="59" t="str">
        <f>IF(X72&lt;&gt;"",Y72,IF(L72&lt;&gt;"",M72,""))</f>
        <v/>
      </c>
      <c r="AH72" s="59" t="str">
        <f>IF(L72="","",IF(X72&lt;&gt;"",U72,F72))</f>
        <v/>
      </c>
      <c r="AI72" s="59" t="str">
        <f>IF(L72="","",IF(X72&lt;&gt;"",V72,H72))</f>
        <v/>
      </c>
    </row>
    <row r="73" ht="30" customHeight="1">
      <c r="A73" s="50" t="n"/>
      <c r="B73" s="51" t="n"/>
      <c r="C73" s="51" t="n"/>
      <c r="D73" s="51" t="n"/>
      <c r="E73" s="51" t="n"/>
      <c r="F73" s="52" t="n"/>
      <c r="G73" s="51" t="n"/>
      <c r="H73" s="52" t="n"/>
      <c r="I73" s="51" t="n"/>
      <c r="J73" s="51" t="n"/>
      <c r="K73" s="52" t="n"/>
      <c r="L73" s="53" t="str">
        <f>IF(AND(IF(ISNUMBER(F73),AND(F73&gt;=1,F73&lt;=10,F73=INT(F73)),FALSE),IF(ISNUMBER(H73),AND(H73&gt;=1,H73&lt;=10,H73=INT(H73)),FALSE),IF(ISNUMBER(K73),AND(K73&gt;=1,K73&lt;=10,K73=INT(K73)),FALSE)),F73*H73*K73,"")</f>
        <v/>
      </c>
      <c r="M73" s="54" t="str">
        <f>IF(L73="",IF(D73="","","À coter"),IF(OR(F73&gt;=p_gmin,L73&gt;=p_ipr_crit),"Critique",IF(L73&gt;=p_ipr_act,"Élevée",IF(L73&gt;=p_ipr_watch,"Moyenne","Faible"))))</f>
        <v/>
      </c>
      <c r="N73" s="54" t="str">
        <f>IF(OR(M73="",M73="À coter"),"",IF(OR(M73="Critique",M73="Élevée"),"Oui","Non"))</f>
        <v/>
      </c>
      <c r="O73" s="51" t="n"/>
      <c r="P73" s="51" t="n"/>
      <c r="Q73" s="55" t="n"/>
      <c r="R73" s="50" t="n"/>
      <c r="S73" s="55" t="n"/>
      <c r="T73" s="56" t="n"/>
      <c r="U73" s="52" t="n"/>
      <c r="V73" s="52" t="n"/>
      <c r="W73" s="52" t="n"/>
      <c r="X73" s="53" t="str">
        <f>IF(AND(L73&lt;&gt;"",IF(ISNUMBER(U73),AND(U73&gt;=1,U73&lt;=10,U73=INT(U73)),FALSE),IF(ISNUMBER(V73),AND(V73&gt;=1,V73&lt;=10,V73=INT(V73)),FALSE),IF(ISNUMBER(W73),AND(W73&gt;=1,W73&lt;=10,W73=INT(W73)),FALSE)),U73*V73*W73,"")</f>
        <v/>
      </c>
      <c r="Y73" s="54" t="str">
        <f>IF(X73="","",IF(OR(U73&gt;=p_gmin,X73&gt;=p_ipr_crit),"Critique",IF(X73&gt;=p_ipr_act,"Élevée",IF(X73&gt;=p_ipr_watch,"Moyenne","Faible"))))</f>
        <v/>
      </c>
      <c r="Z73" s="57" t="str">
        <f>IF(X73="","",(L73-X73)/L73)</f>
        <v/>
      </c>
      <c r="AA73" s="54" t="str">
        <f>IF(AND(D73="",O73=""),"",IF(O73="",IF(N73="Oui","Action à définir",IF(N73="Non","Sans action","")),IF(R73="Annulée","Annulée",IF(R73="Réalisée",IF(X73="","À réévaluer","Réalisée"),IF(N(Q73)=0,"Échéance manquante",IF(Q73&lt;p_today,"En retard",IF(Q73-p_today&lt;=p_alert,"Échéance proche","Dans les délais")))))))</f>
        <v/>
      </c>
      <c r="AB73" s="58" t="str">
        <f>IF(AND(A73="",B73="",D73="",F73="",H73="",K73="",O73=""),"",IF(D73="","Mode de défaillance manquant",IF(AND(A73&lt;&gt;"",COUNTIF(am_num,A73)&gt;1),"N° en double",IF(F73="","Gravité G manquante",IF(NOT(IF(ISNUMBER(F73),AND(F73&gt;=1,F73&lt;=10,F73=INT(F73)),FALSE)),"G : entier de 1 à 10",IF(H73="","Occurrence O manquante",IF(NOT(IF(ISNUMBER(H73),AND(H73&gt;=1,H73&lt;=10,H73=INT(H73)),FALSE)),"O : entier de 1 à 10",IF(K73="","Détection D manquante",IF(NOT(IF(ISNUMBER(K73),AND(K73&gt;=1,K73&lt;=10,K73=INT(K73)),FALSE)),"D : entier de 1 à 10",IF(G73="","Cause manquante",IF(AND(O73&lt;&gt;"",P73=""),"Responsable manquant",IF(AND(R73&lt;&gt;"",O73=""),"Statut sans action",IF(AND(R73="Réalisée",N(S73)=0),"Date de réalisation manquante",IF(AND(T73&lt;&gt;"",IF(ISNUMBER(T73),T73&lt;0,TRUE)),"Coût invalide",IF(AND(COUNTBLANK(U73:W73)&gt;0,COUNTBLANK(U73:W73)&lt;3),"Cotation après action incomplète",IF(AND(COUNTBLANK(U73:W73)=0,X73=""),"G', O', D' : entiers de 1 à 10",IF(AND(X73&lt;&gt;"",X73&gt;L73),"IPR après action plus élevé","OK")))))))))))))))))</f>
        <v/>
      </c>
      <c r="AC73" s="59" t="str">
        <f>IF(OR(AA73="En retard",AA73="Échéance proche",AA73="Dans les délais",AA73="Échéance manquante",AA73="Action à définir",AA73="À réévaluer"),IF(OR(plan_who="",P73=plan_who),IF(N(Q73)&gt;0,Q73,99999)*1000+ROW(),""),"")</f>
        <v/>
      </c>
      <c r="AD73" s="59" t="str">
        <f>IF(L73="","",L73*1000+1000-ROW())</f>
        <v/>
      </c>
      <c r="AE73" s="59" t="str">
        <f>IF(IF(AA73="En retard",1,IF(AA73="Action à définir",2,IF(AA73="Échéance manquante",3,IF(AA73="Échéance proche",4,IF(AA73="À réévaluer",5,0)))))=0,"",IF(AA73="En retard",1,IF(AA73="Action à définir",2,IF(AA73="Échéance manquante",3,IF(AA73="Échéance proche",4,IF(AA73="À réévaluer",5,0)))))*100000000+IF(N(Q73)&gt;0,Q73,99999)*1000+ROW())</f>
        <v/>
      </c>
      <c r="AF73" s="59" t="str">
        <f>IF(X73&lt;&gt;"",X73,L73)</f>
        <v/>
      </c>
      <c r="AG73" s="59" t="str">
        <f>IF(X73&lt;&gt;"",Y73,IF(L73&lt;&gt;"",M73,""))</f>
        <v/>
      </c>
      <c r="AH73" s="59" t="str">
        <f>IF(L73="","",IF(X73&lt;&gt;"",U73,F73))</f>
        <v/>
      </c>
      <c r="AI73" s="59" t="str">
        <f>IF(L73="","",IF(X73&lt;&gt;"",V73,H73))</f>
        <v/>
      </c>
    </row>
    <row r="74" ht="30" customHeight="1">
      <c r="A74" s="50" t="n"/>
      <c r="B74" s="51" t="n"/>
      <c r="C74" s="51" t="n"/>
      <c r="D74" s="51" t="n"/>
      <c r="E74" s="51" t="n"/>
      <c r="F74" s="52" t="n"/>
      <c r="G74" s="51" t="n"/>
      <c r="H74" s="52" t="n"/>
      <c r="I74" s="51" t="n"/>
      <c r="J74" s="51" t="n"/>
      <c r="K74" s="52" t="n"/>
      <c r="L74" s="53" t="str">
        <f>IF(AND(IF(ISNUMBER(F74),AND(F74&gt;=1,F74&lt;=10,F74=INT(F74)),FALSE),IF(ISNUMBER(H74),AND(H74&gt;=1,H74&lt;=10,H74=INT(H74)),FALSE),IF(ISNUMBER(K74),AND(K74&gt;=1,K74&lt;=10,K74=INT(K74)),FALSE)),F74*H74*K74,"")</f>
        <v/>
      </c>
      <c r="M74" s="54" t="str">
        <f>IF(L74="",IF(D74="","","À coter"),IF(OR(F74&gt;=p_gmin,L74&gt;=p_ipr_crit),"Critique",IF(L74&gt;=p_ipr_act,"Élevée",IF(L74&gt;=p_ipr_watch,"Moyenne","Faible"))))</f>
        <v/>
      </c>
      <c r="N74" s="54" t="str">
        <f>IF(OR(M74="",M74="À coter"),"",IF(OR(M74="Critique",M74="Élevée"),"Oui","Non"))</f>
        <v/>
      </c>
      <c r="O74" s="51" t="n"/>
      <c r="P74" s="51" t="n"/>
      <c r="Q74" s="55" t="n"/>
      <c r="R74" s="50" t="n"/>
      <c r="S74" s="55" t="n"/>
      <c r="T74" s="56" t="n"/>
      <c r="U74" s="52" t="n"/>
      <c r="V74" s="52" t="n"/>
      <c r="W74" s="52" t="n"/>
      <c r="X74" s="53" t="str">
        <f>IF(AND(L74&lt;&gt;"",IF(ISNUMBER(U74),AND(U74&gt;=1,U74&lt;=10,U74=INT(U74)),FALSE),IF(ISNUMBER(V74),AND(V74&gt;=1,V74&lt;=10,V74=INT(V74)),FALSE),IF(ISNUMBER(W74),AND(W74&gt;=1,W74&lt;=10,W74=INT(W74)),FALSE)),U74*V74*W74,"")</f>
        <v/>
      </c>
      <c r="Y74" s="54" t="str">
        <f>IF(X74="","",IF(OR(U74&gt;=p_gmin,X74&gt;=p_ipr_crit),"Critique",IF(X74&gt;=p_ipr_act,"Élevée",IF(X74&gt;=p_ipr_watch,"Moyenne","Faible"))))</f>
        <v/>
      </c>
      <c r="Z74" s="57" t="str">
        <f>IF(X74="","",(L74-X74)/L74)</f>
        <v/>
      </c>
      <c r="AA74" s="54" t="str">
        <f>IF(AND(D74="",O74=""),"",IF(O74="",IF(N74="Oui","Action à définir",IF(N74="Non","Sans action","")),IF(R74="Annulée","Annulée",IF(R74="Réalisée",IF(X74="","À réévaluer","Réalisée"),IF(N(Q74)=0,"Échéance manquante",IF(Q74&lt;p_today,"En retard",IF(Q74-p_today&lt;=p_alert,"Échéance proche","Dans les délais")))))))</f>
        <v/>
      </c>
      <c r="AB74" s="58" t="str">
        <f>IF(AND(A74="",B74="",D74="",F74="",H74="",K74="",O74=""),"",IF(D74="","Mode de défaillance manquant",IF(AND(A74&lt;&gt;"",COUNTIF(am_num,A74)&gt;1),"N° en double",IF(F74="","Gravité G manquante",IF(NOT(IF(ISNUMBER(F74),AND(F74&gt;=1,F74&lt;=10,F74=INT(F74)),FALSE)),"G : entier de 1 à 10",IF(H74="","Occurrence O manquante",IF(NOT(IF(ISNUMBER(H74),AND(H74&gt;=1,H74&lt;=10,H74=INT(H74)),FALSE)),"O : entier de 1 à 10",IF(K74="","Détection D manquante",IF(NOT(IF(ISNUMBER(K74),AND(K74&gt;=1,K74&lt;=10,K74=INT(K74)),FALSE)),"D : entier de 1 à 10",IF(G74="","Cause manquante",IF(AND(O74&lt;&gt;"",P74=""),"Responsable manquant",IF(AND(R74&lt;&gt;"",O74=""),"Statut sans action",IF(AND(R74="Réalisée",N(S74)=0),"Date de réalisation manquante",IF(AND(T74&lt;&gt;"",IF(ISNUMBER(T74),T74&lt;0,TRUE)),"Coût invalide",IF(AND(COUNTBLANK(U74:W74)&gt;0,COUNTBLANK(U74:W74)&lt;3),"Cotation après action incomplète",IF(AND(COUNTBLANK(U74:W74)=0,X74=""),"G', O', D' : entiers de 1 à 10",IF(AND(X74&lt;&gt;"",X74&gt;L74),"IPR après action plus élevé","OK")))))))))))))))))</f>
        <v/>
      </c>
      <c r="AC74" s="59" t="str">
        <f>IF(OR(AA74="En retard",AA74="Échéance proche",AA74="Dans les délais",AA74="Échéance manquante",AA74="Action à définir",AA74="À réévaluer"),IF(OR(plan_who="",P74=plan_who),IF(N(Q74)&gt;0,Q74,99999)*1000+ROW(),""),"")</f>
        <v/>
      </c>
      <c r="AD74" s="59" t="str">
        <f>IF(L74="","",L74*1000+1000-ROW())</f>
        <v/>
      </c>
      <c r="AE74" s="59" t="str">
        <f>IF(IF(AA74="En retard",1,IF(AA74="Action à définir",2,IF(AA74="Échéance manquante",3,IF(AA74="Échéance proche",4,IF(AA74="À réévaluer",5,0)))))=0,"",IF(AA74="En retard",1,IF(AA74="Action à définir",2,IF(AA74="Échéance manquante",3,IF(AA74="Échéance proche",4,IF(AA74="À réévaluer",5,0)))))*100000000+IF(N(Q74)&gt;0,Q74,99999)*1000+ROW())</f>
        <v/>
      </c>
      <c r="AF74" s="59" t="str">
        <f>IF(X74&lt;&gt;"",X74,L74)</f>
        <v/>
      </c>
      <c r="AG74" s="59" t="str">
        <f>IF(X74&lt;&gt;"",Y74,IF(L74&lt;&gt;"",M74,""))</f>
        <v/>
      </c>
      <c r="AH74" s="59" t="str">
        <f>IF(L74="","",IF(X74&lt;&gt;"",U74,F74))</f>
        <v/>
      </c>
      <c r="AI74" s="59" t="str">
        <f>IF(L74="","",IF(X74&lt;&gt;"",V74,H74))</f>
        <v/>
      </c>
    </row>
    <row r="75" ht="30" customHeight="1">
      <c r="A75" s="50" t="n"/>
      <c r="B75" s="51" t="n"/>
      <c r="C75" s="51" t="n"/>
      <c r="D75" s="51" t="n"/>
      <c r="E75" s="51" t="n"/>
      <c r="F75" s="52" t="n"/>
      <c r="G75" s="51" t="n"/>
      <c r="H75" s="52" t="n"/>
      <c r="I75" s="51" t="n"/>
      <c r="J75" s="51" t="n"/>
      <c r="K75" s="52" t="n"/>
      <c r="L75" s="53" t="str">
        <f>IF(AND(IF(ISNUMBER(F75),AND(F75&gt;=1,F75&lt;=10,F75=INT(F75)),FALSE),IF(ISNUMBER(H75),AND(H75&gt;=1,H75&lt;=10,H75=INT(H75)),FALSE),IF(ISNUMBER(K75),AND(K75&gt;=1,K75&lt;=10,K75=INT(K75)),FALSE)),F75*H75*K75,"")</f>
        <v/>
      </c>
      <c r="M75" s="54" t="str">
        <f>IF(L75="",IF(D75="","","À coter"),IF(OR(F75&gt;=p_gmin,L75&gt;=p_ipr_crit),"Critique",IF(L75&gt;=p_ipr_act,"Élevée",IF(L75&gt;=p_ipr_watch,"Moyenne","Faible"))))</f>
        <v/>
      </c>
      <c r="N75" s="54" t="str">
        <f>IF(OR(M75="",M75="À coter"),"",IF(OR(M75="Critique",M75="Élevée"),"Oui","Non"))</f>
        <v/>
      </c>
      <c r="O75" s="51" t="n"/>
      <c r="P75" s="51" t="n"/>
      <c r="Q75" s="55" t="n"/>
      <c r="R75" s="50" t="n"/>
      <c r="S75" s="55" t="n"/>
      <c r="T75" s="56" t="n"/>
      <c r="U75" s="52" t="n"/>
      <c r="V75" s="52" t="n"/>
      <c r="W75" s="52" t="n"/>
      <c r="X75" s="53" t="str">
        <f>IF(AND(L75&lt;&gt;"",IF(ISNUMBER(U75),AND(U75&gt;=1,U75&lt;=10,U75=INT(U75)),FALSE),IF(ISNUMBER(V75),AND(V75&gt;=1,V75&lt;=10,V75=INT(V75)),FALSE),IF(ISNUMBER(W75),AND(W75&gt;=1,W75&lt;=10,W75=INT(W75)),FALSE)),U75*V75*W75,"")</f>
        <v/>
      </c>
      <c r="Y75" s="54" t="str">
        <f>IF(X75="","",IF(OR(U75&gt;=p_gmin,X75&gt;=p_ipr_crit),"Critique",IF(X75&gt;=p_ipr_act,"Élevée",IF(X75&gt;=p_ipr_watch,"Moyenne","Faible"))))</f>
        <v/>
      </c>
      <c r="Z75" s="57" t="str">
        <f>IF(X75="","",(L75-X75)/L75)</f>
        <v/>
      </c>
      <c r="AA75" s="54" t="str">
        <f>IF(AND(D75="",O75=""),"",IF(O75="",IF(N75="Oui","Action à définir",IF(N75="Non","Sans action","")),IF(R75="Annulée","Annulée",IF(R75="Réalisée",IF(X75="","À réévaluer","Réalisée"),IF(N(Q75)=0,"Échéance manquante",IF(Q75&lt;p_today,"En retard",IF(Q75-p_today&lt;=p_alert,"Échéance proche","Dans les délais")))))))</f>
        <v/>
      </c>
      <c r="AB75" s="58" t="str">
        <f>IF(AND(A75="",B75="",D75="",F75="",H75="",K75="",O75=""),"",IF(D75="","Mode de défaillance manquant",IF(AND(A75&lt;&gt;"",COUNTIF(am_num,A75)&gt;1),"N° en double",IF(F75="","Gravité G manquante",IF(NOT(IF(ISNUMBER(F75),AND(F75&gt;=1,F75&lt;=10,F75=INT(F75)),FALSE)),"G : entier de 1 à 10",IF(H75="","Occurrence O manquante",IF(NOT(IF(ISNUMBER(H75),AND(H75&gt;=1,H75&lt;=10,H75=INT(H75)),FALSE)),"O : entier de 1 à 10",IF(K75="","Détection D manquante",IF(NOT(IF(ISNUMBER(K75),AND(K75&gt;=1,K75&lt;=10,K75=INT(K75)),FALSE)),"D : entier de 1 à 10",IF(G75="","Cause manquante",IF(AND(O75&lt;&gt;"",P75=""),"Responsable manquant",IF(AND(R75&lt;&gt;"",O75=""),"Statut sans action",IF(AND(R75="Réalisée",N(S75)=0),"Date de réalisation manquante",IF(AND(T75&lt;&gt;"",IF(ISNUMBER(T75),T75&lt;0,TRUE)),"Coût invalide",IF(AND(COUNTBLANK(U75:W75)&gt;0,COUNTBLANK(U75:W75)&lt;3),"Cotation après action incomplète",IF(AND(COUNTBLANK(U75:W75)=0,X75=""),"G', O', D' : entiers de 1 à 10",IF(AND(X75&lt;&gt;"",X75&gt;L75),"IPR après action plus élevé","OK")))))))))))))))))</f>
        <v/>
      </c>
      <c r="AC75" s="59" t="str">
        <f>IF(OR(AA75="En retard",AA75="Échéance proche",AA75="Dans les délais",AA75="Échéance manquante",AA75="Action à définir",AA75="À réévaluer"),IF(OR(plan_who="",P75=plan_who),IF(N(Q75)&gt;0,Q75,99999)*1000+ROW(),""),"")</f>
        <v/>
      </c>
      <c r="AD75" s="59" t="str">
        <f>IF(L75="","",L75*1000+1000-ROW())</f>
        <v/>
      </c>
      <c r="AE75" s="59" t="str">
        <f>IF(IF(AA75="En retard",1,IF(AA75="Action à définir",2,IF(AA75="Échéance manquante",3,IF(AA75="Échéance proche",4,IF(AA75="À réévaluer",5,0)))))=0,"",IF(AA75="En retard",1,IF(AA75="Action à définir",2,IF(AA75="Échéance manquante",3,IF(AA75="Échéance proche",4,IF(AA75="À réévaluer",5,0)))))*100000000+IF(N(Q75)&gt;0,Q75,99999)*1000+ROW())</f>
        <v/>
      </c>
      <c r="AF75" s="59" t="str">
        <f>IF(X75&lt;&gt;"",X75,L75)</f>
        <v/>
      </c>
      <c r="AG75" s="59" t="str">
        <f>IF(X75&lt;&gt;"",Y75,IF(L75&lt;&gt;"",M75,""))</f>
        <v/>
      </c>
      <c r="AH75" s="59" t="str">
        <f>IF(L75="","",IF(X75&lt;&gt;"",U75,F75))</f>
        <v/>
      </c>
      <c r="AI75" s="59" t="str">
        <f>IF(L75="","",IF(X75&lt;&gt;"",V75,H75))</f>
        <v/>
      </c>
    </row>
    <row r="76" ht="30" customHeight="1">
      <c r="A76" s="50" t="n"/>
      <c r="B76" s="51" t="n"/>
      <c r="C76" s="51" t="n"/>
      <c r="D76" s="51" t="n"/>
      <c r="E76" s="51" t="n"/>
      <c r="F76" s="52" t="n"/>
      <c r="G76" s="51" t="n"/>
      <c r="H76" s="52" t="n"/>
      <c r="I76" s="51" t="n"/>
      <c r="J76" s="51" t="n"/>
      <c r="K76" s="52" t="n"/>
      <c r="L76" s="53" t="str">
        <f>IF(AND(IF(ISNUMBER(F76),AND(F76&gt;=1,F76&lt;=10,F76=INT(F76)),FALSE),IF(ISNUMBER(H76),AND(H76&gt;=1,H76&lt;=10,H76=INT(H76)),FALSE),IF(ISNUMBER(K76),AND(K76&gt;=1,K76&lt;=10,K76=INT(K76)),FALSE)),F76*H76*K76,"")</f>
        <v/>
      </c>
      <c r="M76" s="54" t="str">
        <f>IF(L76="",IF(D76="","","À coter"),IF(OR(F76&gt;=p_gmin,L76&gt;=p_ipr_crit),"Critique",IF(L76&gt;=p_ipr_act,"Élevée",IF(L76&gt;=p_ipr_watch,"Moyenne","Faible"))))</f>
        <v/>
      </c>
      <c r="N76" s="54" t="str">
        <f>IF(OR(M76="",M76="À coter"),"",IF(OR(M76="Critique",M76="Élevée"),"Oui","Non"))</f>
        <v/>
      </c>
      <c r="O76" s="51" t="n"/>
      <c r="P76" s="51" t="n"/>
      <c r="Q76" s="55" t="n"/>
      <c r="R76" s="50" t="n"/>
      <c r="S76" s="55" t="n"/>
      <c r="T76" s="56" t="n"/>
      <c r="U76" s="52" t="n"/>
      <c r="V76" s="52" t="n"/>
      <c r="W76" s="52" t="n"/>
      <c r="X76" s="53" t="str">
        <f>IF(AND(L76&lt;&gt;"",IF(ISNUMBER(U76),AND(U76&gt;=1,U76&lt;=10,U76=INT(U76)),FALSE),IF(ISNUMBER(V76),AND(V76&gt;=1,V76&lt;=10,V76=INT(V76)),FALSE),IF(ISNUMBER(W76),AND(W76&gt;=1,W76&lt;=10,W76=INT(W76)),FALSE)),U76*V76*W76,"")</f>
        <v/>
      </c>
      <c r="Y76" s="54" t="str">
        <f>IF(X76="","",IF(OR(U76&gt;=p_gmin,X76&gt;=p_ipr_crit),"Critique",IF(X76&gt;=p_ipr_act,"Élevée",IF(X76&gt;=p_ipr_watch,"Moyenne","Faible"))))</f>
        <v/>
      </c>
      <c r="Z76" s="57" t="str">
        <f>IF(X76="","",(L76-X76)/L76)</f>
        <v/>
      </c>
      <c r="AA76" s="54" t="str">
        <f>IF(AND(D76="",O76=""),"",IF(O76="",IF(N76="Oui","Action à définir",IF(N76="Non","Sans action","")),IF(R76="Annulée","Annulée",IF(R76="Réalisée",IF(X76="","À réévaluer","Réalisée"),IF(N(Q76)=0,"Échéance manquante",IF(Q76&lt;p_today,"En retard",IF(Q76-p_today&lt;=p_alert,"Échéance proche","Dans les délais")))))))</f>
        <v/>
      </c>
      <c r="AB76" s="58" t="str">
        <f>IF(AND(A76="",B76="",D76="",F76="",H76="",K76="",O76=""),"",IF(D76="","Mode de défaillance manquant",IF(AND(A76&lt;&gt;"",COUNTIF(am_num,A76)&gt;1),"N° en double",IF(F76="","Gravité G manquante",IF(NOT(IF(ISNUMBER(F76),AND(F76&gt;=1,F76&lt;=10,F76=INT(F76)),FALSE)),"G : entier de 1 à 10",IF(H76="","Occurrence O manquante",IF(NOT(IF(ISNUMBER(H76),AND(H76&gt;=1,H76&lt;=10,H76=INT(H76)),FALSE)),"O : entier de 1 à 10",IF(K76="","Détection D manquante",IF(NOT(IF(ISNUMBER(K76),AND(K76&gt;=1,K76&lt;=10,K76=INT(K76)),FALSE)),"D : entier de 1 à 10",IF(G76="","Cause manquante",IF(AND(O76&lt;&gt;"",P76=""),"Responsable manquant",IF(AND(R76&lt;&gt;"",O76=""),"Statut sans action",IF(AND(R76="Réalisée",N(S76)=0),"Date de réalisation manquante",IF(AND(T76&lt;&gt;"",IF(ISNUMBER(T76),T76&lt;0,TRUE)),"Coût invalide",IF(AND(COUNTBLANK(U76:W76)&gt;0,COUNTBLANK(U76:W76)&lt;3),"Cotation après action incomplète",IF(AND(COUNTBLANK(U76:W76)=0,X76=""),"G', O', D' : entiers de 1 à 10",IF(AND(X76&lt;&gt;"",X76&gt;L76),"IPR après action plus élevé","OK")))))))))))))))))</f>
        <v/>
      </c>
      <c r="AC76" s="59" t="str">
        <f>IF(OR(AA76="En retard",AA76="Échéance proche",AA76="Dans les délais",AA76="Échéance manquante",AA76="Action à définir",AA76="À réévaluer"),IF(OR(plan_who="",P76=plan_who),IF(N(Q76)&gt;0,Q76,99999)*1000+ROW(),""),"")</f>
        <v/>
      </c>
      <c r="AD76" s="59" t="str">
        <f>IF(L76="","",L76*1000+1000-ROW())</f>
        <v/>
      </c>
      <c r="AE76" s="59" t="str">
        <f>IF(IF(AA76="En retard",1,IF(AA76="Action à définir",2,IF(AA76="Échéance manquante",3,IF(AA76="Échéance proche",4,IF(AA76="À réévaluer",5,0)))))=0,"",IF(AA76="En retard",1,IF(AA76="Action à définir",2,IF(AA76="Échéance manquante",3,IF(AA76="Échéance proche",4,IF(AA76="À réévaluer",5,0)))))*100000000+IF(N(Q76)&gt;0,Q76,99999)*1000+ROW())</f>
        <v/>
      </c>
      <c r="AF76" s="59" t="str">
        <f>IF(X76&lt;&gt;"",X76,L76)</f>
        <v/>
      </c>
      <c r="AG76" s="59" t="str">
        <f>IF(X76&lt;&gt;"",Y76,IF(L76&lt;&gt;"",M76,""))</f>
        <v/>
      </c>
      <c r="AH76" s="59" t="str">
        <f>IF(L76="","",IF(X76&lt;&gt;"",U76,F76))</f>
        <v/>
      </c>
      <c r="AI76" s="59" t="str">
        <f>IF(L76="","",IF(X76&lt;&gt;"",V76,H76))</f>
        <v/>
      </c>
    </row>
    <row r="77" ht="30" customHeight="1">
      <c r="A77" s="50" t="n"/>
      <c r="B77" s="51" t="n"/>
      <c r="C77" s="51" t="n"/>
      <c r="D77" s="51" t="n"/>
      <c r="E77" s="51" t="n"/>
      <c r="F77" s="52" t="n"/>
      <c r="G77" s="51" t="n"/>
      <c r="H77" s="52" t="n"/>
      <c r="I77" s="51" t="n"/>
      <c r="J77" s="51" t="n"/>
      <c r="K77" s="52" t="n"/>
      <c r="L77" s="53" t="str">
        <f>IF(AND(IF(ISNUMBER(F77),AND(F77&gt;=1,F77&lt;=10,F77=INT(F77)),FALSE),IF(ISNUMBER(H77),AND(H77&gt;=1,H77&lt;=10,H77=INT(H77)),FALSE),IF(ISNUMBER(K77),AND(K77&gt;=1,K77&lt;=10,K77=INT(K77)),FALSE)),F77*H77*K77,"")</f>
        <v/>
      </c>
      <c r="M77" s="54" t="str">
        <f>IF(L77="",IF(D77="","","À coter"),IF(OR(F77&gt;=p_gmin,L77&gt;=p_ipr_crit),"Critique",IF(L77&gt;=p_ipr_act,"Élevée",IF(L77&gt;=p_ipr_watch,"Moyenne","Faible"))))</f>
        <v/>
      </c>
      <c r="N77" s="54" t="str">
        <f>IF(OR(M77="",M77="À coter"),"",IF(OR(M77="Critique",M77="Élevée"),"Oui","Non"))</f>
        <v/>
      </c>
      <c r="O77" s="51" t="n"/>
      <c r="P77" s="51" t="n"/>
      <c r="Q77" s="55" t="n"/>
      <c r="R77" s="50" t="n"/>
      <c r="S77" s="55" t="n"/>
      <c r="T77" s="56" t="n"/>
      <c r="U77" s="52" t="n"/>
      <c r="V77" s="52" t="n"/>
      <c r="W77" s="52" t="n"/>
      <c r="X77" s="53" t="str">
        <f>IF(AND(L77&lt;&gt;"",IF(ISNUMBER(U77),AND(U77&gt;=1,U77&lt;=10,U77=INT(U77)),FALSE),IF(ISNUMBER(V77),AND(V77&gt;=1,V77&lt;=10,V77=INT(V77)),FALSE),IF(ISNUMBER(W77),AND(W77&gt;=1,W77&lt;=10,W77=INT(W77)),FALSE)),U77*V77*W77,"")</f>
        <v/>
      </c>
      <c r="Y77" s="54" t="str">
        <f>IF(X77="","",IF(OR(U77&gt;=p_gmin,X77&gt;=p_ipr_crit),"Critique",IF(X77&gt;=p_ipr_act,"Élevée",IF(X77&gt;=p_ipr_watch,"Moyenne","Faible"))))</f>
        <v/>
      </c>
      <c r="Z77" s="57" t="str">
        <f>IF(X77="","",(L77-X77)/L77)</f>
        <v/>
      </c>
      <c r="AA77" s="54" t="str">
        <f>IF(AND(D77="",O77=""),"",IF(O77="",IF(N77="Oui","Action à définir",IF(N77="Non","Sans action","")),IF(R77="Annulée","Annulée",IF(R77="Réalisée",IF(X77="","À réévaluer","Réalisée"),IF(N(Q77)=0,"Échéance manquante",IF(Q77&lt;p_today,"En retard",IF(Q77-p_today&lt;=p_alert,"Échéance proche","Dans les délais")))))))</f>
        <v/>
      </c>
      <c r="AB77" s="58" t="str">
        <f>IF(AND(A77="",B77="",D77="",F77="",H77="",K77="",O77=""),"",IF(D77="","Mode de défaillance manquant",IF(AND(A77&lt;&gt;"",COUNTIF(am_num,A77)&gt;1),"N° en double",IF(F77="","Gravité G manquante",IF(NOT(IF(ISNUMBER(F77),AND(F77&gt;=1,F77&lt;=10,F77=INT(F77)),FALSE)),"G : entier de 1 à 10",IF(H77="","Occurrence O manquante",IF(NOT(IF(ISNUMBER(H77),AND(H77&gt;=1,H77&lt;=10,H77=INT(H77)),FALSE)),"O : entier de 1 à 10",IF(K77="","Détection D manquante",IF(NOT(IF(ISNUMBER(K77),AND(K77&gt;=1,K77&lt;=10,K77=INT(K77)),FALSE)),"D : entier de 1 à 10",IF(G77="","Cause manquante",IF(AND(O77&lt;&gt;"",P77=""),"Responsable manquant",IF(AND(R77&lt;&gt;"",O77=""),"Statut sans action",IF(AND(R77="Réalisée",N(S77)=0),"Date de réalisation manquante",IF(AND(T77&lt;&gt;"",IF(ISNUMBER(T77),T77&lt;0,TRUE)),"Coût invalide",IF(AND(COUNTBLANK(U77:W77)&gt;0,COUNTBLANK(U77:W77)&lt;3),"Cotation après action incomplète",IF(AND(COUNTBLANK(U77:W77)=0,X77=""),"G', O', D' : entiers de 1 à 10",IF(AND(X77&lt;&gt;"",X77&gt;L77),"IPR après action plus élevé","OK")))))))))))))))))</f>
        <v/>
      </c>
      <c r="AC77" s="59" t="str">
        <f>IF(OR(AA77="En retard",AA77="Échéance proche",AA77="Dans les délais",AA77="Échéance manquante",AA77="Action à définir",AA77="À réévaluer"),IF(OR(plan_who="",P77=plan_who),IF(N(Q77)&gt;0,Q77,99999)*1000+ROW(),""),"")</f>
        <v/>
      </c>
      <c r="AD77" s="59" t="str">
        <f>IF(L77="","",L77*1000+1000-ROW())</f>
        <v/>
      </c>
      <c r="AE77" s="59" t="str">
        <f>IF(IF(AA77="En retard",1,IF(AA77="Action à définir",2,IF(AA77="Échéance manquante",3,IF(AA77="Échéance proche",4,IF(AA77="À réévaluer",5,0)))))=0,"",IF(AA77="En retard",1,IF(AA77="Action à définir",2,IF(AA77="Échéance manquante",3,IF(AA77="Échéance proche",4,IF(AA77="À réévaluer",5,0)))))*100000000+IF(N(Q77)&gt;0,Q77,99999)*1000+ROW())</f>
        <v/>
      </c>
      <c r="AF77" s="59" t="str">
        <f>IF(X77&lt;&gt;"",X77,L77)</f>
        <v/>
      </c>
      <c r="AG77" s="59" t="str">
        <f>IF(X77&lt;&gt;"",Y77,IF(L77&lt;&gt;"",M77,""))</f>
        <v/>
      </c>
      <c r="AH77" s="59" t="str">
        <f>IF(L77="","",IF(X77&lt;&gt;"",U77,F77))</f>
        <v/>
      </c>
      <c r="AI77" s="59" t="str">
        <f>IF(L77="","",IF(X77&lt;&gt;"",V77,H77))</f>
        <v/>
      </c>
    </row>
    <row r="78" ht="30" customHeight="1">
      <c r="A78" s="50" t="n"/>
      <c r="B78" s="51" t="n"/>
      <c r="C78" s="51" t="n"/>
      <c r="D78" s="51" t="n"/>
      <c r="E78" s="51" t="n"/>
      <c r="F78" s="52" t="n"/>
      <c r="G78" s="51" t="n"/>
      <c r="H78" s="52" t="n"/>
      <c r="I78" s="51" t="n"/>
      <c r="J78" s="51" t="n"/>
      <c r="K78" s="52" t="n"/>
      <c r="L78" s="53" t="str">
        <f>IF(AND(IF(ISNUMBER(F78),AND(F78&gt;=1,F78&lt;=10,F78=INT(F78)),FALSE),IF(ISNUMBER(H78),AND(H78&gt;=1,H78&lt;=10,H78=INT(H78)),FALSE),IF(ISNUMBER(K78),AND(K78&gt;=1,K78&lt;=10,K78=INT(K78)),FALSE)),F78*H78*K78,"")</f>
        <v/>
      </c>
      <c r="M78" s="54" t="str">
        <f>IF(L78="",IF(D78="","","À coter"),IF(OR(F78&gt;=p_gmin,L78&gt;=p_ipr_crit),"Critique",IF(L78&gt;=p_ipr_act,"Élevée",IF(L78&gt;=p_ipr_watch,"Moyenne","Faible"))))</f>
        <v/>
      </c>
      <c r="N78" s="54" t="str">
        <f>IF(OR(M78="",M78="À coter"),"",IF(OR(M78="Critique",M78="Élevée"),"Oui","Non"))</f>
        <v/>
      </c>
      <c r="O78" s="51" t="n"/>
      <c r="P78" s="51" t="n"/>
      <c r="Q78" s="55" t="n"/>
      <c r="R78" s="50" t="n"/>
      <c r="S78" s="55" t="n"/>
      <c r="T78" s="56" t="n"/>
      <c r="U78" s="52" t="n"/>
      <c r="V78" s="52" t="n"/>
      <c r="W78" s="52" t="n"/>
      <c r="X78" s="53" t="str">
        <f>IF(AND(L78&lt;&gt;"",IF(ISNUMBER(U78),AND(U78&gt;=1,U78&lt;=10,U78=INT(U78)),FALSE),IF(ISNUMBER(V78),AND(V78&gt;=1,V78&lt;=10,V78=INT(V78)),FALSE),IF(ISNUMBER(W78),AND(W78&gt;=1,W78&lt;=10,W78=INT(W78)),FALSE)),U78*V78*W78,"")</f>
        <v/>
      </c>
      <c r="Y78" s="54" t="str">
        <f>IF(X78="","",IF(OR(U78&gt;=p_gmin,X78&gt;=p_ipr_crit),"Critique",IF(X78&gt;=p_ipr_act,"Élevée",IF(X78&gt;=p_ipr_watch,"Moyenne","Faible"))))</f>
        <v/>
      </c>
      <c r="Z78" s="57" t="str">
        <f>IF(X78="","",(L78-X78)/L78)</f>
        <v/>
      </c>
      <c r="AA78" s="54" t="str">
        <f>IF(AND(D78="",O78=""),"",IF(O78="",IF(N78="Oui","Action à définir",IF(N78="Non","Sans action","")),IF(R78="Annulée","Annulée",IF(R78="Réalisée",IF(X78="","À réévaluer","Réalisée"),IF(N(Q78)=0,"Échéance manquante",IF(Q78&lt;p_today,"En retard",IF(Q78-p_today&lt;=p_alert,"Échéance proche","Dans les délais")))))))</f>
        <v/>
      </c>
      <c r="AB78" s="58" t="str">
        <f>IF(AND(A78="",B78="",D78="",F78="",H78="",K78="",O78=""),"",IF(D78="","Mode de défaillance manquant",IF(AND(A78&lt;&gt;"",COUNTIF(am_num,A78)&gt;1),"N° en double",IF(F78="","Gravité G manquante",IF(NOT(IF(ISNUMBER(F78),AND(F78&gt;=1,F78&lt;=10,F78=INT(F78)),FALSE)),"G : entier de 1 à 10",IF(H78="","Occurrence O manquante",IF(NOT(IF(ISNUMBER(H78),AND(H78&gt;=1,H78&lt;=10,H78=INT(H78)),FALSE)),"O : entier de 1 à 10",IF(K78="","Détection D manquante",IF(NOT(IF(ISNUMBER(K78),AND(K78&gt;=1,K78&lt;=10,K78=INT(K78)),FALSE)),"D : entier de 1 à 10",IF(G78="","Cause manquante",IF(AND(O78&lt;&gt;"",P78=""),"Responsable manquant",IF(AND(R78&lt;&gt;"",O78=""),"Statut sans action",IF(AND(R78="Réalisée",N(S78)=0),"Date de réalisation manquante",IF(AND(T78&lt;&gt;"",IF(ISNUMBER(T78),T78&lt;0,TRUE)),"Coût invalide",IF(AND(COUNTBLANK(U78:W78)&gt;0,COUNTBLANK(U78:W78)&lt;3),"Cotation après action incomplète",IF(AND(COUNTBLANK(U78:W78)=0,X78=""),"G', O', D' : entiers de 1 à 10",IF(AND(X78&lt;&gt;"",X78&gt;L78),"IPR après action plus élevé","OK")))))))))))))))))</f>
        <v/>
      </c>
      <c r="AC78" s="59" t="str">
        <f>IF(OR(AA78="En retard",AA78="Échéance proche",AA78="Dans les délais",AA78="Échéance manquante",AA78="Action à définir",AA78="À réévaluer"),IF(OR(plan_who="",P78=plan_who),IF(N(Q78)&gt;0,Q78,99999)*1000+ROW(),""),"")</f>
        <v/>
      </c>
      <c r="AD78" s="59" t="str">
        <f>IF(L78="","",L78*1000+1000-ROW())</f>
        <v/>
      </c>
      <c r="AE78" s="59" t="str">
        <f>IF(IF(AA78="En retard",1,IF(AA78="Action à définir",2,IF(AA78="Échéance manquante",3,IF(AA78="Échéance proche",4,IF(AA78="À réévaluer",5,0)))))=0,"",IF(AA78="En retard",1,IF(AA78="Action à définir",2,IF(AA78="Échéance manquante",3,IF(AA78="Échéance proche",4,IF(AA78="À réévaluer",5,0)))))*100000000+IF(N(Q78)&gt;0,Q78,99999)*1000+ROW())</f>
        <v/>
      </c>
      <c r="AF78" s="59" t="str">
        <f>IF(X78&lt;&gt;"",X78,L78)</f>
        <v/>
      </c>
      <c r="AG78" s="59" t="str">
        <f>IF(X78&lt;&gt;"",Y78,IF(L78&lt;&gt;"",M78,""))</f>
        <v/>
      </c>
      <c r="AH78" s="59" t="str">
        <f>IF(L78="","",IF(X78&lt;&gt;"",U78,F78))</f>
        <v/>
      </c>
      <c r="AI78" s="59" t="str">
        <f>IF(L78="","",IF(X78&lt;&gt;"",V78,H78))</f>
        <v/>
      </c>
    </row>
    <row r="79" ht="30" customHeight="1">
      <c r="A79" s="50" t="n"/>
      <c r="B79" s="51" t="n"/>
      <c r="C79" s="51" t="n"/>
      <c r="D79" s="51" t="n"/>
      <c r="E79" s="51" t="n"/>
      <c r="F79" s="52" t="n"/>
      <c r="G79" s="51" t="n"/>
      <c r="H79" s="52" t="n"/>
      <c r="I79" s="51" t="n"/>
      <c r="J79" s="51" t="n"/>
      <c r="K79" s="52" t="n"/>
      <c r="L79" s="53" t="str">
        <f>IF(AND(IF(ISNUMBER(F79),AND(F79&gt;=1,F79&lt;=10,F79=INT(F79)),FALSE),IF(ISNUMBER(H79),AND(H79&gt;=1,H79&lt;=10,H79=INT(H79)),FALSE),IF(ISNUMBER(K79),AND(K79&gt;=1,K79&lt;=10,K79=INT(K79)),FALSE)),F79*H79*K79,"")</f>
        <v/>
      </c>
      <c r="M79" s="54" t="str">
        <f>IF(L79="",IF(D79="","","À coter"),IF(OR(F79&gt;=p_gmin,L79&gt;=p_ipr_crit),"Critique",IF(L79&gt;=p_ipr_act,"Élevée",IF(L79&gt;=p_ipr_watch,"Moyenne","Faible"))))</f>
        <v/>
      </c>
      <c r="N79" s="54" t="str">
        <f>IF(OR(M79="",M79="À coter"),"",IF(OR(M79="Critique",M79="Élevée"),"Oui","Non"))</f>
        <v/>
      </c>
      <c r="O79" s="51" t="n"/>
      <c r="P79" s="51" t="n"/>
      <c r="Q79" s="55" t="n"/>
      <c r="R79" s="50" t="n"/>
      <c r="S79" s="55" t="n"/>
      <c r="T79" s="56" t="n"/>
      <c r="U79" s="52" t="n"/>
      <c r="V79" s="52" t="n"/>
      <c r="W79" s="52" t="n"/>
      <c r="X79" s="53" t="str">
        <f>IF(AND(L79&lt;&gt;"",IF(ISNUMBER(U79),AND(U79&gt;=1,U79&lt;=10,U79=INT(U79)),FALSE),IF(ISNUMBER(V79),AND(V79&gt;=1,V79&lt;=10,V79=INT(V79)),FALSE),IF(ISNUMBER(W79),AND(W79&gt;=1,W79&lt;=10,W79=INT(W79)),FALSE)),U79*V79*W79,"")</f>
        <v/>
      </c>
      <c r="Y79" s="54" t="str">
        <f>IF(X79="","",IF(OR(U79&gt;=p_gmin,X79&gt;=p_ipr_crit),"Critique",IF(X79&gt;=p_ipr_act,"Élevée",IF(X79&gt;=p_ipr_watch,"Moyenne","Faible"))))</f>
        <v/>
      </c>
      <c r="Z79" s="57" t="str">
        <f>IF(X79="","",(L79-X79)/L79)</f>
        <v/>
      </c>
      <c r="AA79" s="54" t="str">
        <f>IF(AND(D79="",O79=""),"",IF(O79="",IF(N79="Oui","Action à définir",IF(N79="Non","Sans action","")),IF(R79="Annulée","Annulée",IF(R79="Réalisée",IF(X79="","À réévaluer","Réalisée"),IF(N(Q79)=0,"Échéance manquante",IF(Q79&lt;p_today,"En retard",IF(Q79-p_today&lt;=p_alert,"Échéance proche","Dans les délais")))))))</f>
        <v/>
      </c>
      <c r="AB79" s="58" t="str">
        <f>IF(AND(A79="",B79="",D79="",F79="",H79="",K79="",O79=""),"",IF(D79="","Mode de défaillance manquant",IF(AND(A79&lt;&gt;"",COUNTIF(am_num,A79)&gt;1),"N° en double",IF(F79="","Gravité G manquante",IF(NOT(IF(ISNUMBER(F79),AND(F79&gt;=1,F79&lt;=10,F79=INT(F79)),FALSE)),"G : entier de 1 à 10",IF(H79="","Occurrence O manquante",IF(NOT(IF(ISNUMBER(H79),AND(H79&gt;=1,H79&lt;=10,H79=INT(H79)),FALSE)),"O : entier de 1 à 10",IF(K79="","Détection D manquante",IF(NOT(IF(ISNUMBER(K79),AND(K79&gt;=1,K79&lt;=10,K79=INT(K79)),FALSE)),"D : entier de 1 à 10",IF(G79="","Cause manquante",IF(AND(O79&lt;&gt;"",P79=""),"Responsable manquant",IF(AND(R79&lt;&gt;"",O79=""),"Statut sans action",IF(AND(R79="Réalisée",N(S79)=0),"Date de réalisation manquante",IF(AND(T79&lt;&gt;"",IF(ISNUMBER(T79),T79&lt;0,TRUE)),"Coût invalide",IF(AND(COUNTBLANK(U79:W79)&gt;0,COUNTBLANK(U79:W79)&lt;3),"Cotation après action incomplète",IF(AND(COUNTBLANK(U79:W79)=0,X79=""),"G', O', D' : entiers de 1 à 10",IF(AND(X79&lt;&gt;"",X79&gt;L79),"IPR après action plus élevé","OK")))))))))))))))))</f>
        <v/>
      </c>
      <c r="AC79" s="59" t="str">
        <f>IF(OR(AA79="En retard",AA79="Échéance proche",AA79="Dans les délais",AA79="Échéance manquante",AA79="Action à définir",AA79="À réévaluer"),IF(OR(plan_who="",P79=plan_who),IF(N(Q79)&gt;0,Q79,99999)*1000+ROW(),""),"")</f>
        <v/>
      </c>
      <c r="AD79" s="59" t="str">
        <f>IF(L79="","",L79*1000+1000-ROW())</f>
        <v/>
      </c>
      <c r="AE79" s="59" t="str">
        <f>IF(IF(AA79="En retard",1,IF(AA79="Action à définir",2,IF(AA79="Échéance manquante",3,IF(AA79="Échéance proche",4,IF(AA79="À réévaluer",5,0)))))=0,"",IF(AA79="En retard",1,IF(AA79="Action à définir",2,IF(AA79="Échéance manquante",3,IF(AA79="Échéance proche",4,IF(AA79="À réévaluer",5,0)))))*100000000+IF(N(Q79)&gt;0,Q79,99999)*1000+ROW())</f>
        <v/>
      </c>
      <c r="AF79" s="59" t="str">
        <f>IF(X79&lt;&gt;"",X79,L79)</f>
        <v/>
      </c>
      <c r="AG79" s="59" t="str">
        <f>IF(X79&lt;&gt;"",Y79,IF(L79&lt;&gt;"",M79,""))</f>
        <v/>
      </c>
      <c r="AH79" s="59" t="str">
        <f>IF(L79="","",IF(X79&lt;&gt;"",U79,F79))</f>
        <v/>
      </c>
      <c r="AI79" s="59" t="str">
        <f>IF(L79="","",IF(X79&lt;&gt;"",V79,H79))</f>
        <v/>
      </c>
    </row>
    <row r="80" ht="30" customHeight="1">
      <c r="A80" s="50" t="n"/>
      <c r="B80" s="51" t="n"/>
      <c r="C80" s="51" t="n"/>
      <c r="D80" s="51" t="n"/>
      <c r="E80" s="51" t="n"/>
      <c r="F80" s="52" t="n"/>
      <c r="G80" s="51" t="n"/>
      <c r="H80" s="52" t="n"/>
      <c r="I80" s="51" t="n"/>
      <c r="J80" s="51" t="n"/>
      <c r="K80" s="52" t="n"/>
      <c r="L80" s="53" t="str">
        <f>IF(AND(IF(ISNUMBER(F80),AND(F80&gt;=1,F80&lt;=10,F80=INT(F80)),FALSE),IF(ISNUMBER(H80),AND(H80&gt;=1,H80&lt;=10,H80=INT(H80)),FALSE),IF(ISNUMBER(K80),AND(K80&gt;=1,K80&lt;=10,K80=INT(K80)),FALSE)),F80*H80*K80,"")</f>
        <v/>
      </c>
      <c r="M80" s="54" t="str">
        <f>IF(L80="",IF(D80="","","À coter"),IF(OR(F80&gt;=p_gmin,L80&gt;=p_ipr_crit),"Critique",IF(L80&gt;=p_ipr_act,"Élevée",IF(L80&gt;=p_ipr_watch,"Moyenne","Faible"))))</f>
        <v/>
      </c>
      <c r="N80" s="54" t="str">
        <f>IF(OR(M80="",M80="À coter"),"",IF(OR(M80="Critique",M80="Élevée"),"Oui","Non"))</f>
        <v/>
      </c>
      <c r="O80" s="51" t="n"/>
      <c r="P80" s="51" t="n"/>
      <c r="Q80" s="55" t="n"/>
      <c r="R80" s="50" t="n"/>
      <c r="S80" s="55" t="n"/>
      <c r="T80" s="56" t="n"/>
      <c r="U80" s="52" t="n"/>
      <c r="V80" s="52" t="n"/>
      <c r="W80" s="52" t="n"/>
      <c r="X80" s="53" t="str">
        <f>IF(AND(L80&lt;&gt;"",IF(ISNUMBER(U80),AND(U80&gt;=1,U80&lt;=10,U80=INT(U80)),FALSE),IF(ISNUMBER(V80),AND(V80&gt;=1,V80&lt;=10,V80=INT(V80)),FALSE),IF(ISNUMBER(W80),AND(W80&gt;=1,W80&lt;=10,W80=INT(W80)),FALSE)),U80*V80*W80,"")</f>
        <v/>
      </c>
      <c r="Y80" s="54" t="str">
        <f>IF(X80="","",IF(OR(U80&gt;=p_gmin,X80&gt;=p_ipr_crit),"Critique",IF(X80&gt;=p_ipr_act,"Élevée",IF(X80&gt;=p_ipr_watch,"Moyenne","Faible"))))</f>
        <v/>
      </c>
      <c r="Z80" s="57" t="str">
        <f>IF(X80="","",(L80-X80)/L80)</f>
        <v/>
      </c>
      <c r="AA80" s="54" t="str">
        <f>IF(AND(D80="",O80=""),"",IF(O80="",IF(N80="Oui","Action à définir",IF(N80="Non","Sans action","")),IF(R80="Annulée","Annulée",IF(R80="Réalisée",IF(X80="","À réévaluer","Réalisée"),IF(N(Q80)=0,"Échéance manquante",IF(Q80&lt;p_today,"En retard",IF(Q80-p_today&lt;=p_alert,"Échéance proche","Dans les délais")))))))</f>
        <v/>
      </c>
      <c r="AB80" s="58" t="str">
        <f>IF(AND(A80="",B80="",D80="",F80="",H80="",K80="",O80=""),"",IF(D80="","Mode de défaillance manquant",IF(AND(A80&lt;&gt;"",COUNTIF(am_num,A80)&gt;1),"N° en double",IF(F80="","Gravité G manquante",IF(NOT(IF(ISNUMBER(F80),AND(F80&gt;=1,F80&lt;=10,F80=INT(F80)),FALSE)),"G : entier de 1 à 10",IF(H80="","Occurrence O manquante",IF(NOT(IF(ISNUMBER(H80),AND(H80&gt;=1,H80&lt;=10,H80=INT(H80)),FALSE)),"O : entier de 1 à 10",IF(K80="","Détection D manquante",IF(NOT(IF(ISNUMBER(K80),AND(K80&gt;=1,K80&lt;=10,K80=INT(K80)),FALSE)),"D : entier de 1 à 10",IF(G80="","Cause manquante",IF(AND(O80&lt;&gt;"",P80=""),"Responsable manquant",IF(AND(R80&lt;&gt;"",O80=""),"Statut sans action",IF(AND(R80="Réalisée",N(S80)=0),"Date de réalisation manquante",IF(AND(T80&lt;&gt;"",IF(ISNUMBER(T80),T80&lt;0,TRUE)),"Coût invalide",IF(AND(COUNTBLANK(U80:W80)&gt;0,COUNTBLANK(U80:W80)&lt;3),"Cotation après action incomplète",IF(AND(COUNTBLANK(U80:W80)=0,X80=""),"G', O', D' : entiers de 1 à 10",IF(AND(X80&lt;&gt;"",X80&gt;L80),"IPR après action plus élevé","OK")))))))))))))))))</f>
        <v/>
      </c>
      <c r="AC80" s="59" t="str">
        <f>IF(OR(AA80="En retard",AA80="Échéance proche",AA80="Dans les délais",AA80="Échéance manquante",AA80="Action à définir",AA80="À réévaluer"),IF(OR(plan_who="",P80=plan_who),IF(N(Q80)&gt;0,Q80,99999)*1000+ROW(),""),"")</f>
        <v/>
      </c>
      <c r="AD80" s="59" t="str">
        <f>IF(L80="","",L80*1000+1000-ROW())</f>
        <v/>
      </c>
      <c r="AE80" s="59" t="str">
        <f>IF(IF(AA80="En retard",1,IF(AA80="Action à définir",2,IF(AA80="Échéance manquante",3,IF(AA80="Échéance proche",4,IF(AA80="À réévaluer",5,0)))))=0,"",IF(AA80="En retard",1,IF(AA80="Action à définir",2,IF(AA80="Échéance manquante",3,IF(AA80="Échéance proche",4,IF(AA80="À réévaluer",5,0)))))*100000000+IF(N(Q80)&gt;0,Q80,99999)*1000+ROW())</f>
        <v/>
      </c>
      <c r="AF80" s="59" t="str">
        <f>IF(X80&lt;&gt;"",X80,L80)</f>
        <v/>
      </c>
      <c r="AG80" s="59" t="str">
        <f>IF(X80&lt;&gt;"",Y80,IF(L80&lt;&gt;"",M80,""))</f>
        <v/>
      </c>
      <c r="AH80" s="59" t="str">
        <f>IF(L80="","",IF(X80&lt;&gt;"",U80,F80))</f>
        <v/>
      </c>
      <c r="AI80" s="59" t="str">
        <f>IF(L80="","",IF(X80&lt;&gt;"",V80,H80))</f>
        <v/>
      </c>
    </row>
    <row r="81" ht="30" customHeight="1">
      <c r="A81" s="50" t="n"/>
      <c r="B81" s="51" t="n"/>
      <c r="C81" s="51" t="n"/>
      <c r="D81" s="51" t="n"/>
      <c r="E81" s="51" t="n"/>
      <c r="F81" s="52" t="n"/>
      <c r="G81" s="51" t="n"/>
      <c r="H81" s="52" t="n"/>
      <c r="I81" s="51" t="n"/>
      <c r="J81" s="51" t="n"/>
      <c r="K81" s="52" t="n"/>
      <c r="L81" s="53" t="str">
        <f>IF(AND(IF(ISNUMBER(F81),AND(F81&gt;=1,F81&lt;=10,F81=INT(F81)),FALSE),IF(ISNUMBER(H81),AND(H81&gt;=1,H81&lt;=10,H81=INT(H81)),FALSE),IF(ISNUMBER(K81),AND(K81&gt;=1,K81&lt;=10,K81=INT(K81)),FALSE)),F81*H81*K81,"")</f>
        <v/>
      </c>
      <c r="M81" s="54" t="str">
        <f>IF(L81="",IF(D81="","","À coter"),IF(OR(F81&gt;=p_gmin,L81&gt;=p_ipr_crit),"Critique",IF(L81&gt;=p_ipr_act,"Élevée",IF(L81&gt;=p_ipr_watch,"Moyenne","Faible"))))</f>
        <v/>
      </c>
      <c r="N81" s="54" t="str">
        <f>IF(OR(M81="",M81="À coter"),"",IF(OR(M81="Critique",M81="Élevée"),"Oui","Non"))</f>
        <v/>
      </c>
      <c r="O81" s="51" t="n"/>
      <c r="P81" s="51" t="n"/>
      <c r="Q81" s="55" t="n"/>
      <c r="R81" s="50" t="n"/>
      <c r="S81" s="55" t="n"/>
      <c r="T81" s="56" t="n"/>
      <c r="U81" s="52" t="n"/>
      <c r="V81" s="52" t="n"/>
      <c r="W81" s="52" t="n"/>
      <c r="X81" s="53" t="str">
        <f>IF(AND(L81&lt;&gt;"",IF(ISNUMBER(U81),AND(U81&gt;=1,U81&lt;=10,U81=INT(U81)),FALSE),IF(ISNUMBER(V81),AND(V81&gt;=1,V81&lt;=10,V81=INT(V81)),FALSE),IF(ISNUMBER(W81),AND(W81&gt;=1,W81&lt;=10,W81=INT(W81)),FALSE)),U81*V81*W81,"")</f>
        <v/>
      </c>
      <c r="Y81" s="54" t="str">
        <f>IF(X81="","",IF(OR(U81&gt;=p_gmin,X81&gt;=p_ipr_crit),"Critique",IF(X81&gt;=p_ipr_act,"Élevée",IF(X81&gt;=p_ipr_watch,"Moyenne","Faible"))))</f>
        <v/>
      </c>
      <c r="Z81" s="57" t="str">
        <f>IF(X81="","",(L81-X81)/L81)</f>
        <v/>
      </c>
      <c r="AA81" s="54" t="str">
        <f>IF(AND(D81="",O81=""),"",IF(O81="",IF(N81="Oui","Action à définir",IF(N81="Non","Sans action","")),IF(R81="Annulée","Annulée",IF(R81="Réalisée",IF(X81="","À réévaluer","Réalisée"),IF(N(Q81)=0,"Échéance manquante",IF(Q81&lt;p_today,"En retard",IF(Q81-p_today&lt;=p_alert,"Échéance proche","Dans les délais")))))))</f>
        <v/>
      </c>
      <c r="AB81" s="58" t="str">
        <f>IF(AND(A81="",B81="",D81="",F81="",H81="",K81="",O81=""),"",IF(D81="","Mode de défaillance manquant",IF(AND(A81&lt;&gt;"",COUNTIF(am_num,A81)&gt;1),"N° en double",IF(F81="","Gravité G manquante",IF(NOT(IF(ISNUMBER(F81),AND(F81&gt;=1,F81&lt;=10,F81=INT(F81)),FALSE)),"G : entier de 1 à 10",IF(H81="","Occurrence O manquante",IF(NOT(IF(ISNUMBER(H81),AND(H81&gt;=1,H81&lt;=10,H81=INT(H81)),FALSE)),"O : entier de 1 à 10",IF(K81="","Détection D manquante",IF(NOT(IF(ISNUMBER(K81),AND(K81&gt;=1,K81&lt;=10,K81=INT(K81)),FALSE)),"D : entier de 1 à 10",IF(G81="","Cause manquante",IF(AND(O81&lt;&gt;"",P81=""),"Responsable manquant",IF(AND(R81&lt;&gt;"",O81=""),"Statut sans action",IF(AND(R81="Réalisée",N(S81)=0),"Date de réalisation manquante",IF(AND(T81&lt;&gt;"",IF(ISNUMBER(T81),T81&lt;0,TRUE)),"Coût invalide",IF(AND(COUNTBLANK(U81:W81)&gt;0,COUNTBLANK(U81:W81)&lt;3),"Cotation après action incomplète",IF(AND(COUNTBLANK(U81:W81)=0,X81=""),"G', O', D' : entiers de 1 à 10",IF(AND(X81&lt;&gt;"",X81&gt;L81),"IPR après action plus élevé","OK")))))))))))))))))</f>
        <v/>
      </c>
      <c r="AC81" s="59" t="str">
        <f>IF(OR(AA81="En retard",AA81="Échéance proche",AA81="Dans les délais",AA81="Échéance manquante",AA81="Action à définir",AA81="À réévaluer"),IF(OR(plan_who="",P81=plan_who),IF(N(Q81)&gt;0,Q81,99999)*1000+ROW(),""),"")</f>
        <v/>
      </c>
      <c r="AD81" s="59" t="str">
        <f>IF(L81="","",L81*1000+1000-ROW())</f>
        <v/>
      </c>
      <c r="AE81" s="59" t="str">
        <f>IF(IF(AA81="En retard",1,IF(AA81="Action à définir",2,IF(AA81="Échéance manquante",3,IF(AA81="Échéance proche",4,IF(AA81="À réévaluer",5,0)))))=0,"",IF(AA81="En retard",1,IF(AA81="Action à définir",2,IF(AA81="Échéance manquante",3,IF(AA81="Échéance proche",4,IF(AA81="À réévaluer",5,0)))))*100000000+IF(N(Q81)&gt;0,Q81,99999)*1000+ROW())</f>
        <v/>
      </c>
      <c r="AF81" s="59" t="str">
        <f>IF(X81&lt;&gt;"",X81,L81)</f>
        <v/>
      </c>
      <c r="AG81" s="59" t="str">
        <f>IF(X81&lt;&gt;"",Y81,IF(L81&lt;&gt;"",M81,""))</f>
        <v/>
      </c>
      <c r="AH81" s="59" t="str">
        <f>IF(L81="","",IF(X81&lt;&gt;"",U81,F81))</f>
        <v/>
      </c>
      <c r="AI81" s="59" t="str">
        <f>IF(L81="","",IF(X81&lt;&gt;"",V81,H81))</f>
        <v/>
      </c>
    </row>
    <row r="82" ht="30" customHeight="1">
      <c r="A82" s="50" t="n"/>
      <c r="B82" s="51" t="n"/>
      <c r="C82" s="51" t="n"/>
      <c r="D82" s="51" t="n"/>
      <c r="E82" s="51" t="n"/>
      <c r="F82" s="52" t="n"/>
      <c r="G82" s="51" t="n"/>
      <c r="H82" s="52" t="n"/>
      <c r="I82" s="51" t="n"/>
      <c r="J82" s="51" t="n"/>
      <c r="K82" s="52" t="n"/>
      <c r="L82" s="53" t="str">
        <f>IF(AND(IF(ISNUMBER(F82),AND(F82&gt;=1,F82&lt;=10,F82=INT(F82)),FALSE),IF(ISNUMBER(H82),AND(H82&gt;=1,H82&lt;=10,H82=INT(H82)),FALSE),IF(ISNUMBER(K82),AND(K82&gt;=1,K82&lt;=10,K82=INT(K82)),FALSE)),F82*H82*K82,"")</f>
        <v/>
      </c>
      <c r="M82" s="54" t="str">
        <f>IF(L82="",IF(D82="","","À coter"),IF(OR(F82&gt;=p_gmin,L82&gt;=p_ipr_crit),"Critique",IF(L82&gt;=p_ipr_act,"Élevée",IF(L82&gt;=p_ipr_watch,"Moyenne","Faible"))))</f>
        <v/>
      </c>
      <c r="N82" s="54" t="str">
        <f>IF(OR(M82="",M82="À coter"),"",IF(OR(M82="Critique",M82="Élevée"),"Oui","Non"))</f>
        <v/>
      </c>
      <c r="O82" s="51" t="n"/>
      <c r="P82" s="51" t="n"/>
      <c r="Q82" s="55" t="n"/>
      <c r="R82" s="50" t="n"/>
      <c r="S82" s="55" t="n"/>
      <c r="T82" s="56" t="n"/>
      <c r="U82" s="52" t="n"/>
      <c r="V82" s="52" t="n"/>
      <c r="W82" s="52" t="n"/>
      <c r="X82" s="53" t="str">
        <f>IF(AND(L82&lt;&gt;"",IF(ISNUMBER(U82),AND(U82&gt;=1,U82&lt;=10,U82=INT(U82)),FALSE),IF(ISNUMBER(V82),AND(V82&gt;=1,V82&lt;=10,V82=INT(V82)),FALSE),IF(ISNUMBER(W82),AND(W82&gt;=1,W82&lt;=10,W82=INT(W82)),FALSE)),U82*V82*W82,"")</f>
        <v/>
      </c>
      <c r="Y82" s="54" t="str">
        <f>IF(X82="","",IF(OR(U82&gt;=p_gmin,X82&gt;=p_ipr_crit),"Critique",IF(X82&gt;=p_ipr_act,"Élevée",IF(X82&gt;=p_ipr_watch,"Moyenne","Faible"))))</f>
        <v/>
      </c>
      <c r="Z82" s="57" t="str">
        <f>IF(X82="","",(L82-X82)/L82)</f>
        <v/>
      </c>
      <c r="AA82" s="54" t="str">
        <f>IF(AND(D82="",O82=""),"",IF(O82="",IF(N82="Oui","Action à définir",IF(N82="Non","Sans action","")),IF(R82="Annulée","Annulée",IF(R82="Réalisée",IF(X82="","À réévaluer","Réalisée"),IF(N(Q82)=0,"Échéance manquante",IF(Q82&lt;p_today,"En retard",IF(Q82-p_today&lt;=p_alert,"Échéance proche","Dans les délais")))))))</f>
        <v/>
      </c>
      <c r="AB82" s="58" t="str">
        <f>IF(AND(A82="",B82="",D82="",F82="",H82="",K82="",O82=""),"",IF(D82="","Mode de défaillance manquant",IF(AND(A82&lt;&gt;"",COUNTIF(am_num,A82)&gt;1),"N° en double",IF(F82="","Gravité G manquante",IF(NOT(IF(ISNUMBER(F82),AND(F82&gt;=1,F82&lt;=10,F82=INT(F82)),FALSE)),"G : entier de 1 à 10",IF(H82="","Occurrence O manquante",IF(NOT(IF(ISNUMBER(H82),AND(H82&gt;=1,H82&lt;=10,H82=INT(H82)),FALSE)),"O : entier de 1 à 10",IF(K82="","Détection D manquante",IF(NOT(IF(ISNUMBER(K82),AND(K82&gt;=1,K82&lt;=10,K82=INT(K82)),FALSE)),"D : entier de 1 à 10",IF(G82="","Cause manquante",IF(AND(O82&lt;&gt;"",P82=""),"Responsable manquant",IF(AND(R82&lt;&gt;"",O82=""),"Statut sans action",IF(AND(R82="Réalisée",N(S82)=0),"Date de réalisation manquante",IF(AND(T82&lt;&gt;"",IF(ISNUMBER(T82),T82&lt;0,TRUE)),"Coût invalide",IF(AND(COUNTBLANK(U82:W82)&gt;0,COUNTBLANK(U82:W82)&lt;3),"Cotation après action incomplète",IF(AND(COUNTBLANK(U82:W82)=0,X82=""),"G', O', D' : entiers de 1 à 10",IF(AND(X82&lt;&gt;"",X82&gt;L82),"IPR après action plus élevé","OK")))))))))))))))))</f>
        <v/>
      </c>
      <c r="AC82" s="59" t="str">
        <f>IF(OR(AA82="En retard",AA82="Échéance proche",AA82="Dans les délais",AA82="Échéance manquante",AA82="Action à définir",AA82="À réévaluer"),IF(OR(plan_who="",P82=plan_who),IF(N(Q82)&gt;0,Q82,99999)*1000+ROW(),""),"")</f>
        <v/>
      </c>
      <c r="AD82" s="59" t="str">
        <f>IF(L82="","",L82*1000+1000-ROW())</f>
        <v/>
      </c>
      <c r="AE82" s="59" t="str">
        <f>IF(IF(AA82="En retard",1,IF(AA82="Action à définir",2,IF(AA82="Échéance manquante",3,IF(AA82="Échéance proche",4,IF(AA82="À réévaluer",5,0)))))=0,"",IF(AA82="En retard",1,IF(AA82="Action à définir",2,IF(AA82="Échéance manquante",3,IF(AA82="Échéance proche",4,IF(AA82="À réévaluer",5,0)))))*100000000+IF(N(Q82)&gt;0,Q82,99999)*1000+ROW())</f>
        <v/>
      </c>
      <c r="AF82" s="59" t="str">
        <f>IF(X82&lt;&gt;"",X82,L82)</f>
        <v/>
      </c>
      <c r="AG82" s="59" t="str">
        <f>IF(X82&lt;&gt;"",Y82,IF(L82&lt;&gt;"",M82,""))</f>
        <v/>
      </c>
      <c r="AH82" s="59" t="str">
        <f>IF(L82="","",IF(X82&lt;&gt;"",U82,F82))</f>
        <v/>
      </c>
      <c r="AI82" s="59" t="str">
        <f>IF(L82="","",IF(X82&lt;&gt;"",V82,H82))</f>
        <v/>
      </c>
    </row>
    <row r="83" ht="30" customHeight="1">
      <c r="A83" s="50" t="n"/>
      <c r="B83" s="51" t="n"/>
      <c r="C83" s="51" t="n"/>
      <c r="D83" s="51" t="n"/>
      <c r="E83" s="51" t="n"/>
      <c r="F83" s="52" t="n"/>
      <c r="G83" s="51" t="n"/>
      <c r="H83" s="52" t="n"/>
      <c r="I83" s="51" t="n"/>
      <c r="J83" s="51" t="n"/>
      <c r="K83" s="52" t="n"/>
      <c r="L83" s="53" t="str">
        <f>IF(AND(IF(ISNUMBER(F83),AND(F83&gt;=1,F83&lt;=10,F83=INT(F83)),FALSE),IF(ISNUMBER(H83),AND(H83&gt;=1,H83&lt;=10,H83=INT(H83)),FALSE),IF(ISNUMBER(K83),AND(K83&gt;=1,K83&lt;=10,K83=INT(K83)),FALSE)),F83*H83*K83,"")</f>
        <v/>
      </c>
      <c r="M83" s="54" t="str">
        <f>IF(L83="",IF(D83="","","À coter"),IF(OR(F83&gt;=p_gmin,L83&gt;=p_ipr_crit),"Critique",IF(L83&gt;=p_ipr_act,"Élevée",IF(L83&gt;=p_ipr_watch,"Moyenne","Faible"))))</f>
        <v/>
      </c>
      <c r="N83" s="54" t="str">
        <f>IF(OR(M83="",M83="À coter"),"",IF(OR(M83="Critique",M83="Élevée"),"Oui","Non"))</f>
        <v/>
      </c>
      <c r="O83" s="51" t="n"/>
      <c r="P83" s="51" t="n"/>
      <c r="Q83" s="55" t="n"/>
      <c r="R83" s="50" t="n"/>
      <c r="S83" s="55" t="n"/>
      <c r="T83" s="56" t="n"/>
      <c r="U83" s="52" t="n"/>
      <c r="V83" s="52" t="n"/>
      <c r="W83" s="52" t="n"/>
      <c r="X83" s="53" t="str">
        <f>IF(AND(L83&lt;&gt;"",IF(ISNUMBER(U83),AND(U83&gt;=1,U83&lt;=10,U83=INT(U83)),FALSE),IF(ISNUMBER(V83),AND(V83&gt;=1,V83&lt;=10,V83=INT(V83)),FALSE),IF(ISNUMBER(W83),AND(W83&gt;=1,W83&lt;=10,W83=INT(W83)),FALSE)),U83*V83*W83,"")</f>
        <v/>
      </c>
      <c r="Y83" s="54" t="str">
        <f>IF(X83="","",IF(OR(U83&gt;=p_gmin,X83&gt;=p_ipr_crit),"Critique",IF(X83&gt;=p_ipr_act,"Élevée",IF(X83&gt;=p_ipr_watch,"Moyenne","Faible"))))</f>
        <v/>
      </c>
      <c r="Z83" s="57" t="str">
        <f>IF(X83="","",(L83-X83)/L83)</f>
        <v/>
      </c>
      <c r="AA83" s="54" t="str">
        <f>IF(AND(D83="",O83=""),"",IF(O83="",IF(N83="Oui","Action à définir",IF(N83="Non","Sans action","")),IF(R83="Annulée","Annulée",IF(R83="Réalisée",IF(X83="","À réévaluer","Réalisée"),IF(N(Q83)=0,"Échéance manquante",IF(Q83&lt;p_today,"En retard",IF(Q83-p_today&lt;=p_alert,"Échéance proche","Dans les délais")))))))</f>
        <v/>
      </c>
      <c r="AB83" s="58" t="str">
        <f>IF(AND(A83="",B83="",D83="",F83="",H83="",K83="",O83=""),"",IF(D83="","Mode de défaillance manquant",IF(AND(A83&lt;&gt;"",COUNTIF(am_num,A83)&gt;1),"N° en double",IF(F83="","Gravité G manquante",IF(NOT(IF(ISNUMBER(F83),AND(F83&gt;=1,F83&lt;=10,F83=INT(F83)),FALSE)),"G : entier de 1 à 10",IF(H83="","Occurrence O manquante",IF(NOT(IF(ISNUMBER(H83),AND(H83&gt;=1,H83&lt;=10,H83=INT(H83)),FALSE)),"O : entier de 1 à 10",IF(K83="","Détection D manquante",IF(NOT(IF(ISNUMBER(K83),AND(K83&gt;=1,K83&lt;=10,K83=INT(K83)),FALSE)),"D : entier de 1 à 10",IF(G83="","Cause manquante",IF(AND(O83&lt;&gt;"",P83=""),"Responsable manquant",IF(AND(R83&lt;&gt;"",O83=""),"Statut sans action",IF(AND(R83="Réalisée",N(S83)=0),"Date de réalisation manquante",IF(AND(T83&lt;&gt;"",IF(ISNUMBER(T83),T83&lt;0,TRUE)),"Coût invalide",IF(AND(COUNTBLANK(U83:W83)&gt;0,COUNTBLANK(U83:W83)&lt;3),"Cotation après action incomplète",IF(AND(COUNTBLANK(U83:W83)=0,X83=""),"G', O', D' : entiers de 1 à 10",IF(AND(X83&lt;&gt;"",X83&gt;L83),"IPR après action plus élevé","OK")))))))))))))))))</f>
        <v/>
      </c>
      <c r="AC83" s="59" t="str">
        <f>IF(OR(AA83="En retard",AA83="Échéance proche",AA83="Dans les délais",AA83="Échéance manquante",AA83="Action à définir",AA83="À réévaluer"),IF(OR(plan_who="",P83=plan_who),IF(N(Q83)&gt;0,Q83,99999)*1000+ROW(),""),"")</f>
        <v/>
      </c>
      <c r="AD83" s="59" t="str">
        <f>IF(L83="","",L83*1000+1000-ROW())</f>
        <v/>
      </c>
      <c r="AE83" s="59" t="str">
        <f>IF(IF(AA83="En retard",1,IF(AA83="Action à définir",2,IF(AA83="Échéance manquante",3,IF(AA83="Échéance proche",4,IF(AA83="À réévaluer",5,0)))))=0,"",IF(AA83="En retard",1,IF(AA83="Action à définir",2,IF(AA83="Échéance manquante",3,IF(AA83="Échéance proche",4,IF(AA83="À réévaluer",5,0)))))*100000000+IF(N(Q83)&gt;0,Q83,99999)*1000+ROW())</f>
        <v/>
      </c>
      <c r="AF83" s="59" t="str">
        <f>IF(X83&lt;&gt;"",X83,L83)</f>
        <v/>
      </c>
      <c r="AG83" s="59" t="str">
        <f>IF(X83&lt;&gt;"",Y83,IF(L83&lt;&gt;"",M83,""))</f>
        <v/>
      </c>
      <c r="AH83" s="59" t="str">
        <f>IF(L83="","",IF(X83&lt;&gt;"",U83,F83))</f>
        <v/>
      </c>
      <c r="AI83" s="59" t="str">
        <f>IF(L83="","",IF(X83&lt;&gt;"",V83,H83))</f>
        <v/>
      </c>
    </row>
    <row r="84" ht="30" customHeight="1">
      <c r="A84" s="50" t="n"/>
      <c r="B84" s="51" t="n"/>
      <c r="C84" s="51" t="n"/>
      <c r="D84" s="51" t="n"/>
      <c r="E84" s="51" t="n"/>
      <c r="F84" s="52" t="n"/>
      <c r="G84" s="51" t="n"/>
      <c r="H84" s="52" t="n"/>
      <c r="I84" s="51" t="n"/>
      <c r="J84" s="51" t="n"/>
      <c r="K84" s="52" t="n"/>
      <c r="L84" s="53" t="str">
        <f>IF(AND(IF(ISNUMBER(F84),AND(F84&gt;=1,F84&lt;=10,F84=INT(F84)),FALSE),IF(ISNUMBER(H84),AND(H84&gt;=1,H84&lt;=10,H84=INT(H84)),FALSE),IF(ISNUMBER(K84),AND(K84&gt;=1,K84&lt;=10,K84=INT(K84)),FALSE)),F84*H84*K84,"")</f>
        <v/>
      </c>
      <c r="M84" s="54" t="str">
        <f>IF(L84="",IF(D84="","","À coter"),IF(OR(F84&gt;=p_gmin,L84&gt;=p_ipr_crit),"Critique",IF(L84&gt;=p_ipr_act,"Élevée",IF(L84&gt;=p_ipr_watch,"Moyenne","Faible"))))</f>
        <v/>
      </c>
      <c r="N84" s="54" t="str">
        <f>IF(OR(M84="",M84="À coter"),"",IF(OR(M84="Critique",M84="Élevée"),"Oui","Non"))</f>
        <v/>
      </c>
      <c r="O84" s="51" t="n"/>
      <c r="P84" s="51" t="n"/>
      <c r="Q84" s="55" t="n"/>
      <c r="R84" s="50" t="n"/>
      <c r="S84" s="55" t="n"/>
      <c r="T84" s="56" t="n"/>
      <c r="U84" s="52" t="n"/>
      <c r="V84" s="52" t="n"/>
      <c r="W84" s="52" t="n"/>
      <c r="X84" s="53" t="str">
        <f>IF(AND(L84&lt;&gt;"",IF(ISNUMBER(U84),AND(U84&gt;=1,U84&lt;=10,U84=INT(U84)),FALSE),IF(ISNUMBER(V84),AND(V84&gt;=1,V84&lt;=10,V84=INT(V84)),FALSE),IF(ISNUMBER(W84),AND(W84&gt;=1,W84&lt;=10,W84=INT(W84)),FALSE)),U84*V84*W84,"")</f>
        <v/>
      </c>
      <c r="Y84" s="54" t="str">
        <f>IF(X84="","",IF(OR(U84&gt;=p_gmin,X84&gt;=p_ipr_crit),"Critique",IF(X84&gt;=p_ipr_act,"Élevée",IF(X84&gt;=p_ipr_watch,"Moyenne","Faible"))))</f>
        <v/>
      </c>
      <c r="Z84" s="57" t="str">
        <f>IF(X84="","",(L84-X84)/L84)</f>
        <v/>
      </c>
      <c r="AA84" s="54" t="str">
        <f>IF(AND(D84="",O84=""),"",IF(O84="",IF(N84="Oui","Action à définir",IF(N84="Non","Sans action","")),IF(R84="Annulée","Annulée",IF(R84="Réalisée",IF(X84="","À réévaluer","Réalisée"),IF(N(Q84)=0,"Échéance manquante",IF(Q84&lt;p_today,"En retard",IF(Q84-p_today&lt;=p_alert,"Échéance proche","Dans les délais")))))))</f>
        <v/>
      </c>
      <c r="AB84" s="58" t="str">
        <f>IF(AND(A84="",B84="",D84="",F84="",H84="",K84="",O84=""),"",IF(D84="","Mode de défaillance manquant",IF(AND(A84&lt;&gt;"",COUNTIF(am_num,A84)&gt;1),"N° en double",IF(F84="","Gravité G manquante",IF(NOT(IF(ISNUMBER(F84),AND(F84&gt;=1,F84&lt;=10,F84=INT(F84)),FALSE)),"G : entier de 1 à 10",IF(H84="","Occurrence O manquante",IF(NOT(IF(ISNUMBER(H84),AND(H84&gt;=1,H84&lt;=10,H84=INT(H84)),FALSE)),"O : entier de 1 à 10",IF(K84="","Détection D manquante",IF(NOT(IF(ISNUMBER(K84),AND(K84&gt;=1,K84&lt;=10,K84=INT(K84)),FALSE)),"D : entier de 1 à 10",IF(G84="","Cause manquante",IF(AND(O84&lt;&gt;"",P84=""),"Responsable manquant",IF(AND(R84&lt;&gt;"",O84=""),"Statut sans action",IF(AND(R84="Réalisée",N(S84)=0),"Date de réalisation manquante",IF(AND(T84&lt;&gt;"",IF(ISNUMBER(T84),T84&lt;0,TRUE)),"Coût invalide",IF(AND(COUNTBLANK(U84:W84)&gt;0,COUNTBLANK(U84:W84)&lt;3),"Cotation après action incomplète",IF(AND(COUNTBLANK(U84:W84)=0,X84=""),"G', O', D' : entiers de 1 à 10",IF(AND(X84&lt;&gt;"",X84&gt;L84),"IPR après action plus élevé","OK")))))))))))))))))</f>
        <v/>
      </c>
      <c r="AC84" s="59" t="str">
        <f>IF(OR(AA84="En retard",AA84="Échéance proche",AA84="Dans les délais",AA84="Échéance manquante",AA84="Action à définir",AA84="À réévaluer"),IF(OR(plan_who="",P84=plan_who),IF(N(Q84)&gt;0,Q84,99999)*1000+ROW(),""),"")</f>
        <v/>
      </c>
      <c r="AD84" s="59" t="str">
        <f>IF(L84="","",L84*1000+1000-ROW())</f>
        <v/>
      </c>
      <c r="AE84" s="59" t="str">
        <f>IF(IF(AA84="En retard",1,IF(AA84="Action à définir",2,IF(AA84="Échéance manquante",3,IF(AA84="Échéance proche",4,IF(AA84="À réévaluer",5,0)))))=0,"",IF(AA84="En retard",1,IF(AA84="Action à définir",2,IF(AA84="Échéance manquante",3,IF(AA84="Échéance proche",4,IF(AA84="À réévaluer",5,0)))))*100000000+IF(N(Q84)&gt;0,Q84,99999)*1000+ROW())</f>
        <v/>
      </c>
      <c r="AF84" s="59" t="str">
        <f>IF(X84&lt;&gt;"",X84,L84)</f>
        <v/>
      </c>
      <c r="AG84" s="59" t="str">
        <f>IF(X84&lt;&gt;"",Y84,IF(L84&lt;&gt;"",M84,""))</f>
        <v/>
      </c>
      <c r="AH84" s="59" t="str">
        <f>IF(L84="","",IF(X84&lt;&gt;"",U84,F84))</f>
        <v/>
      </c>
      <c r="AI84" s="59" t="str">
        <f>IF(L84="","",IF(X84&lt;&gt;"",V84,H84))</f>
        <v/>
      </c>
    </row>
    <row r="85" ht="30" customHeight="1">
      <c r="A85" s="50" t="n"/>
      <c r="B85" s="51" t="n"/>
      <c r="C85" s="51" t="n"/>
      <c r="D85" s="51" t="n"/>
      <c r="E85" s="51" t="n"/>
      <c r="F85" s="52" t="n"/>
      <c r="G85" s="51" t="n"/>
      <c r="H85" s="52" t="n"/>
      <c r="I85" s="51" t="n"/>
      <c r="J85" s="51" t="n"/>
      <c r="K85" s="52" t="n"/>
      <c r="L85" s="53" t="str">
        <f>IF(AND(IF(ISNUMBER(F85),AND(F85&gt;=1,F85&lt;=10,F85=INT(F85)),FALSE),IF(ISNUMBER(H85),AND(H85&gt;=1,H85&lt;=10,H85=INT(H85)),FALSE),IF(ISNUMBER(K85),AND(K85&gt;=1,K85&lt;=10,K85=INT(K85)),FALSE)),F85*H85*K85,"")</f>
        <v/>
      </c>
      <c r="M85" s="54" t="str">
        <f>IF(L85="",IF(D85="","","À coter"),IF(OR(F85&gt;=p_gmin,L85&gt;=p_ipr_crit),"Critique",IF(L85&gt;=p_ipr_act,"Élevée",IF(L85&gt;=p_ipr_watch,"Moyenne","Faible"))))</f>
        <v/>
      </c>
      <c r="N85" s="54" t="str">
        <f>IF(OR(M85="",M85="À coter"),"",IF(OR(M85="Critique",M85="Élevée"),"Oui","Non"))</f>
        <v/>
      </c>
      <c r="O85" s="51" t="n"/>
      <c r="P85" s="51" t="n"/>
      <c r="Q85" s="55" t="n"/>
      <c r="R85" s="50" t="n"/>
      <c r="S85" s="55" t="n"/>
      <c r="T85" s="56" t="n"/>
      <c r="U85" s="52" t="n"/>
      <c r="V85" s="52" t="n"/>
      <c r="W85" s="52" t="n"/>
      <c r="X85" s="53" t="str">
        <f>IF(AND(L85&lt;&gt;"",IF(ISNUMBER(U85),AND(U85&gt;=1,U85&lt;=10,U85=INT(U85)),FALSE),IF(ISNUMBER(V85),AND(V85&gt;=1,V85&lt;=10,V85=INT(V85)),FALSE),IF(ISNUMBER(W85),AND(W85&gt;=1,W85&lt;=10,W85=INT(W85)),FALSE)),U85*V85*W85,"")</f>
        <v/>
      </c>
      <c r="Y85" s="54" t="str">
        <f>IF(X85="","",IF(OR(U85&gt;=p_gmin,X85&gt;=p_ipr_crit),"Critique",IF(X85&gt;=p_ipr_act,"Élevée",IF(X85&gt;=p_ipr_watch,"Moyenne","Faible"))))</f>
        <v/>
      </c>
      <c r="Z85" s="57" t="str">
        <f>IF(X85="","",(L85-X85)/L85)</f>
        <v/>
      </c>
      <c r="AA85" s="54" t="str">
        <f>IF(AND(D85="",O85=""),"",IF(O85="",IF(N85="Oui","Action à définir",IF(N85="Non","Sans action","")),IF(R85="Annulée","Annulée",IF(R85="Réalisée",IF(X85="","À réévaluer","Réalisée"),IF(N(Q85)=0,"Échéance manquante",IF(Q85&lt;p_today,"En retard",IF(Q85-p_today&lt;=p_alert,"Échéance proche","Dans les délais")))))))</f>
        <v/>
      </c>
      <c r="AB85" s="58" t="str">
        <f>IF(AND(A85="",B85="",D85="",F85="",H85="",K85="",O85=""),"",IF(D85="","Mode de défaillance manquant",IF(AND(A85&lt;&gt;"",COUNTIF(am_num,A85)&gt;1),"N° en double",IF(F85="","Gravité G manquante",IF(NOT(IF(ISNUMBER(F85),AND(F85&gt;=1,F85&lt;=10,F85=INT(F85)),FALSE)),"G : entier de 1 à 10",IF(H85="","Occurrence O manquante",IF(NOT(IF(ISNUMBER(H85),AND(H85&gt;=1,H85&lt;=10,H85=INT(H85)),FALSE)),"O : entier de 1 à 10",IF(K85="","Détection D manquante",IF(NOT(IF(ISNUMBER(K85),AND(K85&gt;=1,K85&lt;=10,K85=INT(K85)),FALSE)),"D : entier de 1 à 10",IF(G85="","Cause manquante",IF(AND(O85&lt;&gt;"",P85=""),"Responsable manquant",IF(AND(R85&lt;&gt;"",O85=""),"Statut sans action",IF(AND(R85="Réalisée",N(S85)=0),"Date de réalisation manquante",IF(AND(T85&lt;&gt;"",IF(ISNUMBER(T85),T85&lt;0,TRUE)),"Coût invalide",IF(AND(COUNTBLANK(U85:W85)&gt;0,COUNTBLANK(U85:W85)&lt;3),"Cotation après action incomplète",IF(AND(COUNTBLANK(U85:W85)=0,X85=""),"G', O', D' : entiers de 1 à 10",IF(AND(X85&lt;&gt;"",X85&gt;L85),"IPR après action plus élevé","OK")))))))))))))))))</f>
        <v/>
      </c>
      <c r="AC85" s="59" t="str">
        <f>IF(OR(AA85="En retard",AA85="Échéance proche",AA85="Dans les délais",AA85="Échéance manquante",AA85="Action à définir",AA85="À réévaluer"),IF(OR(plan_who="",P85=plan_who),IF(N(Q85)&gt;0,Q85,99999)*1000+ROW(),""),"")</f>
        <v/>
      </c>
      <c r="AD85" s="59" t="str">
        <f>IF(L85="","",L85*1000+1000-ROW())</f>
        <v/>
      </c>
      <c r="AE85" s="59" t="str">
        <f>IF(IF(AA85="En retard",1,IF(AA85="Action à définir",2,IF(AA85="Échéance manquante",3,IF(AA85="Échéance proche",4,IF(AA85="À réévaluer",5,0)))))=0,"",IF(AA85="En retard",1,IF(AA85="Action à définir",2,IF(AA85="Échéance manquante",3,IF(AA85="Échéance proche",4,IF(AA85="À réévaluer",5,0)))))*100000000+IF(N(Q85)&gt;0,Q85,99999)*1000+ROW())</f>
        <v/>
      </c>
      <c r="AF85" s="59" t="str">
        <f>IF(X85&lt;&gt;"",X85,L85)</f>
        <v/>
      </c>
      <c r="AG85" s="59" t="str">
        <f>IF(X85&lt;&gt;"",Y85,IF(L85&lt;&gt;"",M85,""))</f>
        <v/>
      </c>
      <c r="AH85" s="59" t="str">
        <f>IF(L85="","",IF(X85&lt;&gt;"",U85,F85))</f>
        <v/>
      </c>
      <c r="AI85" s="59" t="str">
        <f>IF(L85="","",IF(X85&lt;&gt;"",V85,H85))</f>
        <v/>
      </c>
    </row>
    <row r="86" ht="30" customHeight="1">
      <c r="A86" s="50" t="n"/>
      <c r="B86" s="51" t="n"/>
      <c r="C86" s="51" t="n"/>
      <c r="D86" s="51" t="n"/>
      <c r="E86" s="51" t="n"/>
      <c r="F86" s="52" t="n"/>
      <c r="G86" s="51" t="n"/>
      <c r="H86" s="52" t="n"/>
      <c r="I86" s="51" t="n"/>
      <c r="J86" s="51" t="n"/>
      <c r="K86" s="52" t="n"/>
      <c r="L86" s="53" t="str">
        <f>IF(AND(IF(ISNUMBER(F86),AND(F86&gt;=1,F86&lt;=10,F86=INT(F86)),FALSE),IF(ISNUMBER(H86),AND(H86&gt;=1,H86&lt;=10,H86=INT(H86)),FALSE),IF(ISNUMBER(K86),AND(K86&gt;=1,K86&lt;=10,K86=INT(K86)),FALSE)),F86*H86*K86,"")</f>
        <v/>
      </c>
      <c r="M86" s="54" t="str">
        <f>IF(L86="",IF(D86="","","À coter"),IF(OR(F86&gt;=p_gmin,L86&gt;=p_ipr_crit),"Critique",IF(L86&gt;=p_ipr_act,"Élevée",IF(L86&gt;=p_ipr_watch,"Moyenne","Faible"))))</f>
        <v/>
      </c>
      <c r="N86" s="54" t="str">
        <f>IF(OR(M86="",M86="À coter"),"",IF(OR(M86="Critique",M86="Élevée"),"Oui","Non"))</f>
        <v/>
      </c>
      <c r="O86" s="51" t="n"/>
      <c r="P86" s="51" t="n"/>
      <c r="Q86" s="55" t="n"/>
      <c r="R86" s="50" t="n"/>
      <c r="S86" s="55" t="n"/>
      <c r="T86" s="56" t="n"/>
      <c r="U86" s="52" t="n"/>
      <c r="V86" s="52" t="n"/>
      <c r="W86" s="52" t="n"/>
      <c r="X86" s="53" t="str">
        <f>IF(AND(L86&lt;&gt;"",IF(ISNUMBER(U86),AND(U86&gt;=1,U86&lt;=10,U86=INT(U86)),FALSE),IF(ISNUMBER(V86),AND(V86&gt;=1,V86&lt;=10,V86=INT(V86)),FALSE),IF(ISNUMBER(W86),AND(W86&gt;=1,W86&lt;=10,W86=INT(W86)),FALSE)),U86*V86*W86,"")</f>
        <v/>
      </c>
      <c r="Y86" s="54" t="str">
        <f>IF(X86="","",IF(OR(U86&gt;=p_gmin,X86&gt;=p_ipr_crit),"Critique",IF(X86&gt;=p_ipr_act,"Élevée",IF(X86&gt;=p_ipr_watch,"Moyenne","Faible"))))</f>
        <v/>
      </c>
      <c r="Z86" s="57" t="str">
        <f>IF(X86="","",(L86-X86)/L86)</f>
        <v/>
      </c>
      <c r="AA86" s="54" t="str">
        <f>IF(AND(D86="",O86=""),"",IF(O86="",IF(N86="Oui","Action à définir",IF(N86="Non","Sans action","")),IF(R86="Annulée","Annulée",IF(R86="Réalisée",IF(X86="","À réévaluer","Réalisée"),IF(N(Q86)=0,"Échéance manquante",IF(Q86&lt;p_today,"En retard",IF(Q86-p_today&lt;=p_alert,"Échéance proche","Dans les délais")))))))</f>
        <v/>
      </c>
      <c r="AB86" s="58" t="str">
        <f>IF(AND(A86="",B86="",D86="",F86="",H86="",K86="",O86=""),"",IF(D86="","Mode de défaillance manquant",IF(AND(A86&lt;&gt;"",COUNTIF(am_num,A86)&gt;1),"N° en double",IF(F86="","Gravité G manquante",IF(NOT(IF(ISNUMBER(F86),AND(F86&gt;=1,F86&lt;=10,F86=INT(F86)),FALSE)),"G : entier de 1 à 10",IF(H86="","Occurrence O manquante",IF(NOT(IF(ISNUMBER(H86),AND(H86&gt;=1,H86&lt;=10,H86=INT(H86)),FALSE)),"O : entier de 1 à 10",IF(K86="","Détection D manquante",IF(NOT(IF(ISNUMBER(K86),AND(K86&gt;=1,K86&lt;=10,K86=INT(K86)),FALSE)),"D : entier de 1 à 10",IF(G86="","Cause manquante",IF(AND(O86&lt;&gt;"",P86=""),"Responsable manquant",IF(AND(R86&lt;&gt;"",O86=""),"Statut sans action",IF(AND(R86="Réalisée",N(S86)=0),"Date de réalisation manquante",IF(AND(T86&lt;&gt;"",IF(ISNUMBER(T86),T86&lt;0,TRUE)),"Coût invalide",IF(AND(COUNTBLANK(U86:W86)&gt;0,COUNTBLANK(U86:W86)&lt;3),"Cotation après action incomplète",IF(AND(COUNTBLANK(U86:W86)=0,X86=""),"G', O', D' : entiers de 1 à 10",IF(AND(X86&lt;&gt;"",X86&gt;L86),"IPR après action plus élevé","OK")))))))))))))))))</f>
        <v/>
      </c>
      <c r="AC86" s="59" t="str">
        <f>IF(OR(AA86="En retard",AA86="Échéance proche",AA86="Dans les délais",AA86="Échéance manquante",AA86="Action à définir",AA86="À réévaluer"),IF(OR(plan_who="",P86=plan_who),IF(N(Q86)&gt;0,Q86,99999)*1000+ROW(),""),"")</f>
        <v/>
      </c>
      <c r="AD86" s="59" t="str">
        <f>IF(L86="","",L86*1000+1000-ROW())</f>
        <v/>
      </c>
      <c r="AE86" s="59" t="str">
        <f>IF(IF(AA86="En retard",1,IF(AA86="Action à définir",2,IF(AA86="Échéance manquante",3,IF(AA86="Échéance proche",4,IF(AA86="À réévaluer",5,0)))))=0,"",IF(AA86="En retard",1,IF(AA86="Action à définir",2,IF(AA86="Échéance manquante",3,IF(AA86="Échéance proche",4,IF(AA86="À réévaluer",5,0)))))*100000000+IF(N(Q86)&gt;0,Q86,99999)*1000+ROW())</f>
        <v/>
      </c>
      <c r="AF86" s="59" t="str">
        <f>IF(X86&lt;&gt;"",X86,L86)</f>
        <v/>
      </c>
      <c r="AG86" s="59" t="str">
        <f>IF(X86&lt;&gt;"",Y86,IF(L86&lt;&gt;"",M86,""))</f>
        <v/>
      </c>
      <c r="AH86" s="59" t="str">
        <f>IF(L86="","",IF(X86&lt;&gt;"",U86,F86))</f>
        <v/>
      </c>
      <c r="AI86" s="59" t="str">
        <f>IF(L86="","",IF(X86&lt;&gt;"",V86,H86))</f>
        <v/>
      </c>
    </row>
    <row r="87" ht="30" customHeight="1">
      <c r="A87" s="50" t="n"/>
      <c r="B87" s="51" t="n"/>
      <c r="C87" s="51" t="n"/>
      <c r="D87" s="51" t="n"/>
      <c r="E87" s="51" t="n"/>
      <c r="F87" s="52" t="n"/>
      <c r="G87" s="51" t="n"/>
      <c r="H87" s="52" t="n"/>
      <c r="I87" s="51" t="n"/>
      <c r="J87" s="51" t="n"/>
      <c r="K87" s="52" t="n"/>
      <c r="L87" s="53" t="str">
        <f>IF(AND(IF(ISNUMBER(F87),AND(F87&gt;=1,F87&lt;=10,F87=INT(F87)),FALSE),IF(ISNUMBER(H87),AND(H87&gt;=1,H87&lt;=10,H87=INT(H87)),FALSE),IF(ISNUMBER(K87),AND(K87&gt;=1,K87&lt;=10,K87=INT(K87)),FALSE)),F87*H87*K87,"")</f>
        <v/>
      </c>
      <c r="M87" s="54" t="str">
        <f>IF(L87="",IF(D87="","","À coter"),IF(OR(F87&gt;=p_gmin,L87&gt;=p_ipr_crit),"Critique",IF(L87&gt;=p_ipr_act,"Élevée",IF(L87&gt;=p_ipr_watch,"Moyenne","Faible"))))</f>
        <v/>
      </c>
      <c r="N87" s="54" t="str">
        <f>IF(OR(M87="",M87="À coter"),"",IF(OR(M87="Critique",M87="Élevée"),"Oui","Non"))</f>
        <v/>
      </c>
      <c r="O87" s="51" t="n"/>
      <c r="P87" s="51" t="n"/>
      <c r="Q87" s="55" t="n"/>
      <c r="R87" s="50" t="n"/>
      <c r="S87" s="55" t="n"/>
      <c r="T87" s="56" t="n"/>
      <c r="U87" s="52" t="n"/>
      <c r="V87" s="52" t="n"/>
      <c r="W87" s="52" t="n"/>
      <c r="X87" s="53" t="str">
        <f>IF(AND(L87&lt;&gt;"",IF(ISNUMBER(U87),AND(U87&gt;=1,U87&lt;=10,U87=INT(U87)),FALSE),IF(ISNUMBER(V87),AND(V87&gt;=1,V87&lt;=10,V87=INT(V87)),FALSE),IF(ISNUMBER(W87),AND(W87&gt;=1,W87&lt;=10,W87=INT(W87)),FALSE)),U87*V87*W87,"")</f>
        <v/>
      </c>
      <c r="Y87" s="54" t="str">
        <f>IF(X87="","",IF(OR(U87&gt;=p_gmin,X87&gt;=p_ipr_crit),"Critique",IF(X87&gt;=p_ipr_act,"Élevée",IF(X87&gt;=p_ipr_watch,"Moyenne","Faible"))))</f>
        <v/>
      </c>
      <c r="Z87" s="57" t="str">
        <f>IF(X87="","",(L87-X87)/L87)</f>
        <v/>
      </c>
      <c r="AA87" s="54" t="str">
        <f>IF(AND(D87="",O87=""),"",IF(O87="",IF(N87="Oui","Action à définir",IF(N87="Non","Sans action","")),IF(R87="Annulée","Annulée",IF(R87="Réalisée",IF(X87="","À réévaluer","Réalisée"),IF(N(Q87)=0,"Échéance manquante",IF(Q87&lt;p_today,"En retard",IF(Q87-p_today&lt;=p_alert,"Échéance proche","Dans les délais")))))))</f>
        <v/>
      </c>
      <c r="AB87" s="58" t="str">
        <f>IF(AND(A87="",B87="",D87="",F87="",H87="",K87="",O87=""),"",IF(D87="","Mode de défaillance manquant",IF(AND(A87&lt;&gt;"",COUNTIF(am_num,A87)&gt;1),"N° en double",IF(F87="","Gravité G manquante",IF(NOT(IF(ISNUMBER(F87),AND(F87&gt;=1,F87&lt;=10,F87=INT(F87)),FALSE)),"G : entier de 1 à 10",IF(H87="","Occurrence O manquante",IF(NOT(IF(ISNUMBER(H87),AND(H87&gt;=1,H87&lt;=10,H87=INT(H87)),FALSE)),"O : entier de 1 à 10",IF(K87="","Détection D manquante",IF(NOT(IF(ISNUMBER(K87),AND(K87&gt;=1,K87&lt;=10,K87=INT(K87)),FALSE)),"D : entier de 1 à 10",IF(G87="","Cause manquante",IF(AND(O87&lt;&gt;"",P87=""),"Responsable manquant",IF(AND(R87&lt;&gt;"",O87=""),"Statut sans action",IF(AND(R87="Réalisée",N(S87)=0),"Date de réalisation manquante",IF(AND(T87&lt;&gt;"",IF(ISNUMBER(T87),T87&lt;0,TRUE)),"Coût invalide",IF(AND(COUNTBLANK(U87:W87)&gt;0,COUNTBLANK(U87:W87)&lt;3),"Cotation après action incomplète",IF(AND(COUNTBLANK(U87:W87)=0,X87=""),"G', O', D' : entiers de 1 à 10",IF(AND(X87&lt;&gt;"",X87&gt;L87),"IPR après action plus élevé","OK")))))))))))))))))</f>
        <v/>
      </c>
      <c r="AC87" s="59" t="str">
        <f>IF(OR(AA87="En retard",AA87="Échéance proche",AA87="Dans les délais",AA87="Échéance manquante",AA87="Action à définir",AA87="À réévaluer"),IF(OR(plan_who="",P87=plan_who),IF(N(Q87)&gt;0,Q87,99999)*1000+ROW(),""),"")</f>
        <v/>
      </c>
      <c r="AD87" s="59" t="str">
        <f>IF(L87="","",L87*1000+1000-ROW())</f>
        <v/>
      </c>
      <c r="AE87" s="59" t="str">
        <f>IF(IF(AA87="En retard",1,IF(AA87="Action à définir",2,IF(AA87="Échéance manquante",3,IF(AA87="Échéance proche",4,IF(AA87="À réévaluer",5,0)))))=0,"",IF(AA87="En retard",1,IF(AA87="Action à définir",2,IF(AA87="Échéance manquante",3,IF(AA87="Échéance proche",4,IF(AA87="À réévaluer",5,0)))))*100000000+IF(N(Q87)&gt;0,Q87,99999)*1000+ROW())</f>
        <v/>
      </c>
      <c r="AF87" s="59" t="str">
        <f>IF(X87&lt;&gt;"",X87,L87)</f>
        <v/>
      </c>
      <c r="AG87" s="59" t="str">
        <f>IF(X87&lt;&gt;"",Y87,IF(L87&lt;&gt;"",M87,""))</f>
        <v/>
      </c>
      <c r="AH87" s="59" t="str">
        <f>IF(L87="","",IF(X87&lt;&gt;"",U87,F87))</f>
        <v/>
      </c>
      <c r="AI87" s="59" t="str">
        <f>IF(L87="","",IF(X87&lt;&gt;"",V87,H87))</f>
        <v/>
      </c>
    </row>
    <row r="88" ht="30" customHeight="1">
      <c r="A88" s="50" t="n"/>
      <c r="B88" s="51" t="n"/>
      <c r="C88" s="51" t="n"/>
      <c r="D88" s="51" t="n"/>
      <c r="E88" s="51" t="n"/>
      <c r="F88" s="52" t="n"/>
      <c r="G88" s="51" t="n"/>
      <c r="H88" s="52" t="n"/>
      <c r="I88" s="51" t="n"/>
      <c r="J88" s="51" t="n"/>
      <c r="K88" s="52" t="n"/>
      <c r="L88" s="53" t="str">
        <f>IF(AND(IF(ISNUMBER(F88),AND(F88&gt;=1,F88&lt;=10,F88=INT(F88)),FALSE),IF(ISNUMBER(H88),AND(H88&gt;=1,H88&lt;=10,H88=INT(H88)),FALSE),IF(ISNUMBER(K88),AND(K88&gt;=1,K88&lt;=10,K88=INT(K88)),FALSE)),F88*H88*K88,"")</f>
        <v/>
      </c>
      <c r="M88" s="54" t="str">
        <f>IF(L88="",IF(D88="","","À coter"),IF(OR(F88&gt;=p_gmin,L88&gt;=p_ipr_crit),"Critique",IF(L88&gt;=p_ipr_act,"Élevée",IF(L88&gt;=p_ipr_watch,"Moyenne","Faible"))))</f>
        <v/>
      </c>
      <c r="N88" s="54" t="str">
        <f>IF(OR(M88="",M88="À coter"),"",IF(OR(M88="Critique",M88="Élevée"),"Oui","Non"))</f>
        <v/>
      </c>
      <c r="O88" s="51" t="n"/>
      <c r="P88" s="51" t="n"/>
      <c r="Q88" s="55" t="n"/>
      <c r="R88" s="50" t="n"/>
      <c r="S88" s="55" t="n"/>
      <c r="T88" s="56" t="n"/>
      <c r="U88" s="52" t="n"/>
      <c r="V88" s="52" t="n"/>
      <c r="W88" s="52" t="n"/>
      <c r="X88" s="53" t="str">
        <f>IF(AND(L88&lt;&gt;"",IF(ISNUMBER(U88),AND(U88&gt;=1,U88&lt;=10,U88=INT(U88)),FALSE),IF(ISNUMBER(V88),AND(V88&gt;=1,V88&lt;=10,V88=INT(V88)),FALSE),IF(ISNUMBER(W88),AND(W88&gt;=1,W88&lt;=10,W88=INT(W88)),FALSE)),U88*V88*W88,"")</f>
        <v/>
      </c>
      <c r="Y88" s="54" t="str">
        <f>IF(X88="","",IF(OR(U88&gt;=p_gmin,X88&gt;=p_ipr_crit),"Critique",IF(X88&gt;=p_ipr_act,"Élevée",IF(X88&gt;=p_ipr_watch,"Moyenne","Faible"))))</f>
        <v/>
      </c>
      <c r="Z88" s="57" t="str">
        <f>IF(X88="","",(L88-X88)/L88)</f>
        <v/>
      </c>
      <c r="AA88" s="54" t="str">
        <f>IF(AND(D88="",O88=""),"",IF(O88="",IF(N88="Oui","Action à définir",IF(N88="Non","Sans action","")),IF(R88="Annulée","Annulée",IF(R88="Réalisée",IF(X88="","À réévaluer","Réalisée"),IF(N(Q88)=0,"Échéance manquante",IF(Q88&lt;p_today,"En retard",IF(Q88-p_today&lt;=p_alert,"Échéance proche","Dans les délais")))))))</f>
        <v/>
      </c>
      <c r="AB88" s="58" t="str">
        <f>IF(AND(A88="",B88="",D88="",F88="",H88="",K88="",O88=""),"",IF(D88="","Mode de défaillance manquant",IF(AND(A88&lt;&gt;"",COUNTIF(am_num,A88)&gt;1),"N° en double",IF(F88="","Gravité G manquante",IF(NOT(IF(ISNUMBER(F88),AND(F88&gt;=1,F88&lt;=10,F88=INT(F88)),FALSE)),"G : entier de 1 à 10",IF(H88="","Occurrence O manquante",IF(NOT(IF(ISNUMBER(H88),AND(H88&gt;=1,H88&lt;=10,H88=INT(H88)),FALSE)),"O : entier de 1 à 10",IF(K88="","Détection D manquante",IF(NOT(IF(ISNUMBER(K88),AND(K88&gt;=1,K88&lt;=10,K88=INT(K88)),FALSE)),"D : entier de 1 à 10",IF(G88="","Cause manquante",IF(AND(O88&lt;&gt;"",P88=""),"Responsable manquant",IF(AND(R88&lt;&gt;"",O88=""),"Statut sans action",IF(AND(R88="Réalisée",N(S88)=0),"Date de réalisation manquante",IF(AND(T88&lt;&gt;"",IF(ISNUMBER(T88),T88&lt;0,TRUE)),"Coût invalide",IF(AND(COUNTBLANK(U88:W88)&gt;0,COUNTBLANK(U88:W88)&lt;3),"Cotation après action incomplète",IF(AND(COUNTBLANK(U88:W88)=0,X88=""),"G', O', D' : entiers de 1 à 10",IF(AND(X88&lt;&gt;"",X88&gt;L88),"IPR après action plus élevé","OK")))))))))))))))))</f>
        <v/>
      </c>
      <c r="AC88" s="59" t="str">
        <f>IF(OR(AA88="En retard",AA88="Échéance proche",AA88="Dans les délais",AA88="Échéance manquante",AA88="Action à définir",AA88="À réévaluer"),IF(OR(plan_who="",P88=plan_who),IF(N(Q88)&gt;0,Q88,99999)*1000+ROW(),""),"")</f>
        <v/>
      </c>
      <c r="AD88" s="59" t="str">
        <f>IF(L88="","",L88*1000+1000-ROW())</f>
        <v/>
      </c>
      <c r="AE88" s="59" t="str">
        <f>IF(IF(AA88="En retard",1,IF(AA88="Action à définir",2,IF(AA88="Échéance manquante",3,IF(AA88="Échéance proche",4,IF(AA88="À réévaluer",5,0)))))=0,"",IF(AA88="En retard",1,IF(AA88="Action à définir",2,IF(AA88="Échéance manquante",3,IF(AA88="Échéance proche",4,IF(AA88="À réévaluer",5,0)))))*100000000+IF(N(Q88)&gt;0,Q88,99999)*1000+ROW())</f>
        <v/>
      </c>
      <c r="AF88" s="59" t="str">
        <f>IF(X88&lt;&gt;"",X88,L88)</f>
        <v/>
      </c>
      <c r="AG88" s="59" t="str">
        <f>IF(X88&lt;&gt;"",Y88,IF(L88&lt;&gt;"",M88,""))</f>
        <v/>
      </c>
      <c r="AH88" s="59" t="str">
        <f>IF(L88="","",IF(X88&lt;&gt;"",U88,F88))</f>
        <v/>
      </c>
      <c r="AI88" s="59" t="str">
        <f>IF(L88="","",IF(X88&lt;&gt;"",V88,H88))</f>
        <v/>
      </c>
    </row>
    <row r="89" ht="30" customHeight="1">
      <c r="A89" s="50" t="n"/>
      <c r="B89" s="51" t="n"/>
      <c r="C89" s="51" t="n"/>
      <c r="D89" s="51" t="n"/>
      <c r="E89" s="51" t="n"/>
      <c r="F89" s="52" t="n"/>
      <c r="G89" s="51" t="n"/>
      <c r="H89" s="52" t="n"/>
      <c r="I89" s="51" t="n"/>
      <c r="J89" s="51" t="n"/>
      <c r="K89" s="52" t="n"/>
      <c r="L89" s="53" t="str">
        <f>IF(AND(IF(ISNUMBER(F89),AND(F89&gt;=1,F89&lt;=10,F89=INT(F89)),FALSE),IF(ISNUMBER(H89),AND(H89&gt;=1,H89&lt;=10,H89=INT(H89)),FALSE),IF(ISNUMBER(K89),AND(K89&gt;=1,K89&lt;=10,K89=INT(K89)),FALSE)),F89*H89*K89,"")</f>
        <v/>
      </c>
      <c r="M89" s="54" t="str">
        <f>IF(L89="",IF(D89="","","À coter"),IF(OR(F89&gt;=p_gmin,L89&gt;=p_ipr_crit),"Critique",IF(L89&gt;=p_ipr_act,"Élevée",IF(L89&gt;=p_ipr_watch,"Moyenne","Faible"))))</f>
        <v/>
      </c>
      <c r="N89" s="54" t="str">
        <f>IF(OR(M89="",M89="À coter"),"",IF(OR(M89="Critique",M89="Élevée"),"Oui","Non"))</f>
        <v/>
      </c>
      <c r="O89" s="51" t="n"/>
      <c r="P89" s="51" t="n"/>
      <c r="Q89" s="55" t="n"/>
      <c r="R89" s="50" t="n"/>
      <c r="S89" s="55" t="n"/>
      <c r="T89" s="56" t="n"/>
      <c r="U89" s="52" t="n"/>
      <c r="V89" s="52" t="n"/>
      <c r="W89" s="52" t="n"/>
      <c r="X89" s="53" t="str">
        <f>IF(AND(L89&lt;&gt;"",IF(ISNUMBER(U89),AND(U89&gt;=1,U89&lt;=10,U89=INT(U89)),FALSE),IF(ISNUMBER(V89),AND(V89&gt;=1,V89&lt;=10,V89=INT(V89)),FALSE),IF(ISNUMBER(W89),AND(W89&gt;=1,W89&lt;=10,W89=INT(W89)),FALSE)),U89*V89*W89,"")</f>
        <v/>
      </c>
      <c r="Y89" s="54" t="str">
        <f>IF(X89="","",IF(OR(U89&gt;=p_gmin,X89&gt;=p_ipr_crit),"Critique",IF(X89&gt;=p_ipr_act,"Élevée",IF(X89&gt;=p_ipr_watch,"Moyenne","Faible"))))</f>
        <v/>
      </c>
      <c r="Z89" s="57" t="str">
        <f>IF(X89="","",(L89-X89)/L89)</f>
        <v/>
      </c>
      <c r="AA89" s="54" t="str">
        <f>IF(AND(D89="",O89=""),"",IF(O89="",IF(N89="Oui","Action à définir",IF(N89="Non","Sans action","")),IF(R89="Annulée","Annulée",IF(R89="Réalisée",IF(X89="","À réévaluer","Réalisée"),IF(N(Q89)=0,"Échéance manquante",IF(Q89&lt;p_today,"En retard",IF(Q89-p_today&lt;=p_alert,"Échéance proche","Dans les délais")))))))</f>
        <v/>
      </c>
      <c r="AB89" s="58" t="str">
        <f>IF(AND(A89="",B89="",D89="",F89="",H89="",K89="",O89=""),"",IF(D89="","Mode de défaillance manquant",IF(AND(A89&lt;&gt;"",COUNTIF(am_num,A89)&gt;1),"N° en double",IF(F89="","Gravité G manquante",IF(NOT(IF(ISNUMBER(F89),AND(F89&gt;=1,F89&lt;=10,F89=INT(F89)),FALSE)),"G : entier de 1 à 10",IF(H89="","Occurrence O manquante",IF(NOT(IF(ISNUMBER(H89),AND(H89&gt;=1,H89&lt;=10,H89=INT(H89)),FALSE)),"O : entier de 1 à 10",IF(K89="","Détection D manquante",IF(NOT(IF(ISNUMBER(K89),AND(K89&gt;=1,K89&lt;=10,K89=INT(K89)),FALSE)),"D : entier de 1 à 10",IF(G89="","Cause manquante",IF(AND(O89&lt;&gt;"",P89=""),"Responsable manquant",IF(AND(R89&lt;&gt;"",O89=""),"Statut sans action",IF(AND(R89="Réalisée",N(S89)=0),"Date de réalisation manquante",IF(AND(T89&lt;&gt;"",IF(ISNUMBER(T89),T89&lt;0,TRUE)),"Coût invalide",IF(AND(COUNTBLANK(U89:W89)&gt;0,COUNTBLANK(U89:W89)&lt;3),"Cotation après action incomplète",IF(AND(COUNTBLANK(U89:W89)=0,X89=""),"G', O', D' : entiers de 1 à 10",IF(AND(X89&lt;&gt;"",X89&gt;L89),"IPR après action plus élevé","OK")))))))))))))))))</f>
        <v/>
      </c>
      <c r="AC89" s="59" t="str">
        <f>IF(OR(AA89="En retard",AA89="Échéance proche",AA89="Dans les délais",AA89="Échéance manquante",AA89="Action à définir",AA89="À réévaluer"),IF(OR(plan_who="",P89=plan_who),IF(N(Q89)&gt;0,Q89,99999)*1000+ROW(),""),"")</f>
        <v/>
      </c>
      <c r="AD89" s="59" t="str">
        <f>IF(L89="","",L89*1000+1000-ROW())</f>
        <v/>
      </c>
      <c r="AE89" s="59" t="str">
        <f>IF(IF(AA89="En retard",1,IF(AA89="Action à définir",2,IF(AA89="Échéance manquante",3,IF(AA89="Échéance proche",4,IF(AA89="À réévaluer",5,0)))))=0,"",IF(AA89="En retard",1,IF(AA89="Action à définir",2,IF(AA89="Échéance manquante",3,IF(AA89="Échéance proche",4,IF(AA89="À réévaluer",5,0)))))*100000000+IF(N(Q89)&gt;0,Q89,99999)*1000+ROW())</f>
        <v/>
      </c>
      <c r="AF89" s="59" t="str">
        <f>IF(X89&lt;&gt;"",X89,L89)</f>
        <v/>
      </c>
      <c r="AG89" s="59" t="str">
        <f>IF(X89&lt;&gt;"",Y89,IF(L89&lt;&gt;"",M89,""))</f>
        <v/>
      </c>
      <c r="AH89" s="59" t="str">
        <f>IF(L89="","",IF(X89&lt;&gt;"",U89,F89))</f>
        <v/>
      </c>
      <c r="AI89" s="59" t="str">
        <f>IF(L89="","",IF(X89&lt;&gt;"",V89,H89))</f>
        <v/>
      </c>
    </row>
    <row r="90" ht="30" customHeight="1">
      <c r="A90" s="50" t="n"/>
      <c r="B90" s="51" t="n"/>
      <c r="C90" s="51" t="n"/>
      <c r="D90" s="51" t="n"/>
      <c r="E90" s="51" t="n"/>
      <c r="F90" s="52" t="n"/>
      <c r="G90" s="51" t="n"/>
      <c r="H90" s="52" t="n"/>
      <c r="I90" s="51" t="n"/>
      <c r="J90" s="51" t="n"/>
      <c r="K90" s="52" t="n"/>
      <c r="L90" s="53" t="str">
        <f>IF(AND(IF(ISNUMBER(F90),AND(F90&gt;=1,F90&lt;=10,F90=INT(F90)),FALSE),IF(ISNUMBER(H90),AND(H90&gt;=1,H90&lt;=10,H90=INT(H90)),FALSE),IF(ISNUMBER(K90),AND(K90&gt;=1,K90&lt;=10,K90=INT(K90)),FALSE)),F90*H90*K90,"")</f>
        <v/>
      </c>
      <c r="M90" s="54" t="str">
        <f>IF(L90="",IF(D90="","","À coter"),IF(OR(F90&gt;=p_gmin,L90&gt;=p_ipr_crit),"Critique",IF(L90&gt;=p_ipr_act,"Élevée",IF(L90&gt;=p_ipr_watch,"Moyenne","Faible"))))</f>
        <v/>
      </c>
      <c r="N90" s="54" t="str">
        <f>IF(OR(M90="",M90="À coter"),"",IF(OR(M90="Critique",M90="Élevée"),"Oui","Non"))</f>
        <v/>
      </c>
      <c r="O90" s="51" t="n"/>
      <c r="P90" s="51" t="n"/>
      <c r="Q90" s="55" t="n"/>
      <c r="R90" s="50" t="n"/>
      <c r="S90" s="55" t="n"/>
      <c r="T90" s="56" t="n"/>
      <c r="U90" s="52" t="n"/>
      <c r="V90" s="52" t="n"/>
      <c r="W90" s="52" t="n"/>
      <c r="X90" s="53" t="str">
        <f>IF(AND(L90&lt;&gt;"",IF(ISNUMBER(U90),AND(U90&gt;=1,U90&lt;=10,U90=INT(U90)),FALSE),IF(ISNUMBER(V90),AND(V90&gt;=1,V90&lt;=10,V90=INT(V90)),FALSE),IF(ISNUMBER(W90),AND(W90&gt;=1,W90&lt;=10,W90=INT(W90)),FALSE)),U90*V90*W90,"")</f>
        <v/>
      </c>
      <c r="Y90" s="54" t="str">
        <f>IF(X90="","",IF(OR(U90&gt;=p_gmin,X90&gt;=p_ipr_crit),"Critique",IF(X90&gt;=p_ipr_act,"Élevée",IF(X90&gt;=p_ipr_watch,"Moyenne","Faible"))))</f>
        <v/>
      </c>
      <c r="Z90" s="57" t="str">
        <f>IF(X90="","",(L90-X90)/L90)</f>
        <v/>
      </c>
      <c r="AA90" s="54" t="str">
        <f>IF(AND(D90="",O90=""),"",IF(O90="",IF(N90="Oui","Action à définir",IF(N90="Non","Sans action","")),IF(R90="Annulée","Annulée",IF(R90="Réalisée",IF(X90="","À réévaluer","Réalisée"),IF(N(Q90)=0,"Échéance manquante",IF(Q90&lt;p_today,"En retard",IF(Q90-p_today&lt;=p_alert,"Échéance proche","Dans les délais")))))))</f>
        <v/>
      </c>
      <c r="AB90" s="58" t="str">
        <f>IF(AND(A90="",B90="",D90="",F90="",H90="",K90="",O90=""),"",IF(D90="","Mode de défaillance manquant",IF(AND(A90&lt;&gt;"",COUNTIF(am_num,A90)&gt;1),"N° en double",IF(F90="","Gravité G manquante",IF(NOT(IF(ISNUMBER(F90),AND(F90&gt;=1,F90&lt;=10,F90=INT(F90)),FALSE)),"G : entier de 1 à 10",IF(H90="","Occurrence O manquante",IF(NOT(IF(ISNUMBER(H90),AND(H90&gt;=1,H90&lt;=10,H90=INT(H90)),FALSE)),"O : entier de 1 à 10",IF(K90="","Détection D manquante",IF(NOT(IF(ISNUMBER(K90),AND(K90&gt;=1,K90&lt;=10,K90=INT(K90)),FALSE)),"D : entier de 1 à 10",IF(G90="","Cause manquante",IF(AND(O90&lt;&gt;"",P90=""),"Responsable manquant",IF(AND(R90&lt;&gt;"",O90=""),"Statut sans action",IF(AND(R90="Réalisée",N(S90)=0),"Date de réalisation manquante",IF(AND(T90&lt;&gt;"",IF(ISNUMBER(T90),T90&lt;0,TRUE)),"Coût invalide",IF(AND(COUNTBLANK(U90:W90)&gt;0,COUNTBLANK(U90:W90)&lt;3),"Cotation après action incomplète",IF(AND(COUNTBLANK(U90:W90)=0,X90=""),"G', O', D' : entiers de 1 à 10",IF(AND(X90&lt;&gt;"",X90&gt;L90),"IPR après action plus élevé","OK")))))))))))))))))</f>
        <v/>
      </c>
      <c r="AC90" s="59" t="str">
        <f>IF(OR(AA90="En retard",AA90="Échéance proche",AA90="Dans les délais",AA90="Échéance manquante",AA90="Action à définir",AA90="À réévaluer"),IF(OR(plan_who="",P90=plan_who),IF(N(Q90)&gt;0,Q90,99999)*1000+ROW(),""),"")</f>
        <v/>
      </c>
      <c r="AD90" s="59" t="str">
        <f>IF(L90="","",L90*1000+1000-ROW())</f>
        <v/>
      </c>
      <c r="AE90" s="59" t="str">
        <f>IF(IF(AA90="En retard",1,IF(AA90="Action à définir",2,IF(AA90="Échéance manquante",3,IF(AA90="Échéance proche",4,IF(AA90="À réévaluer",5,0)))))=0,"",IF(AA90="En retard",1,IF(AA90="Action à définir",2,IF(AA90="Échéance manquante",3,IF(AA90="Échéance proche",4,IF(AA90="À réévaluer",5,0)))))*100000000+IF(N(Q90)&gt;0,Q90,99999)*1000+ROW())</f>
        <v/>
      </c>
      <c r="AF90" s="59" t="str">
        <f>IF(X90&lt;&gt;"",X90,L90)</f>
        <v/>
      </c>
      <c r="AG90" s="59" t="str">
        <f>IF(X90&lt;&gt;"",Y90,IF(L90&lt;&gt;"",M90,""))</f>
        <v/>
      </c>
      <c r="AH90" s="59" t="str">
        <f>IF(L90="","",IF(X90&lt;&gt;"",U90,F90))</f>
        <v/>
      </c>
      <c r="AI90" s="59" t="str">
        <f>IF(L90="","",IF(X90&lt;&gt;"",V90,H90))</f>
        <v/>
      </c>
    </row>
    <row r="91" ht="30" customHeight="1">
      <c r="A91" s="50" t="n"/>
      <c r="B91" s="51" t="n"/>
      <c r="C91" s="51" t="n"/>
      <c r="D91" s="51" t="n"/>
      <c r="E91" s="51" t="n"/>
      <c r="F91" s="52" t="n"/>
      <c r="G91" s="51" t="n"/>
      <c r="H91" s="52" t="n"/>
      <c r="I91" s="51" t="n"/>
      <c r="J91" s="51" t="n"/>
      <c r="K91" s="52" t="n"/>
      <c r="L91" s="53" t="str">
        <f>IF(AND(IF(ISNUMBER(F91),AND(F91&gt;=1,F91&lt;=10,F91=INT(F91)),FALSE),IF(ISNUMBER(H91),AND(H91&gt;=1,H91&lt;=10,H91=INT(H91)),FALSE),IF(ISNUMBER(K91),AND(K91&gt;=1,K91&lt;=10,K91=INT(K91)),FALSE)),F91*H91*K91,"")</f>
        <v/>
      </c>
      <c r="M91" s="54" t="str">
        <f>IF(L91="",IF(D91="","","À coter"),IF(OR(F91&gt;=p_gmin,L91&gt;=p_ipr_crit),"Critique",IF(L91&gt;=p_ipr_act,"Élevée",IF(L91&gt;=p_ipr_watch,"Moyenne","Faible"))))</f>
        <v/>
      </c>
      <c r="N91" s="54" t="str">
        <f>IF(OR(M91="",M91="À coter"),"",IF(OR(M91="Critique",M91="Élevée"),"Oui","Non"))</f>
        <v/>
      </c>
      <c r="O91" s="51" t="n"/>
      <c r="P91" s="51" t="n"/>
      <c r="Q91" s="55" t="n"/>
      <c r="R91" s="50" t="n"/>
      <c r="S91" s="55" t="n"/>
      <c r="T91" s="56" t="n"/>
      <c r="U91" s="52" t="n"/>
      <c r="V91" s="52" t="n"/>
      <c r="W91" s="52" t="n"/>
      <c r="X91" s="53" t="str">
        <f>IF(AND(L91&lt;&gt;"",IF(ISNUMBER(U91),AND(U91&gt;=1,U91&lt;=10,U91=INT(U91)),FALSE),IF(ISNUMBER(V91),AND(V91&gt;=1,V91&lt;=10,V91=INT(V91)),FALSE),IF(ISNUMBER(W91),AND(W91&gt;=1,W91&lt;=10,W91=INT(W91)),FALSE)),U91*V91*W91,"")</f>
        <v/>
      </c>
      <c r="Y91" s="54" t="str">
        <f>IF(X91="","",IF(OR(U91&gt;=p_gmin,X91&gt;=p_ipr_crit),"Critique",IF(X91&gt;=p_ipr_act,"Élevée",IF(X91&gt;=p_ipr_watch,"Moyenne","Faible"))))</f>
        <v/>
      </c>
      <c r="Z91" s="57" t="str">
        <f>IF(X91="","",(L91-X91)/L91)</f>
        <v/>
      </c>
      <c r="AA91" s="54" t="str">
        <f>IF(AND(D91="",O91=""),"",IF(O91="",IF(N91="Oui","Action à définir",IF(N91="Non","Sans action","")),IF(R91="Annulée","Annulée",IF(R91="Réalisée",IF(X91="","À réévaluer","Réalisée"),IF(N(Q91)=0,"Échéance manquante",IF(Q91&lt;p_today,"En retard",IF(Q91-p_today&lt;=p_alert,"Échéance proche","Dans les délais")))))))</f>
        <v/>
      </c>
      <c r="AB91" s="58" t="str">
        <f>IF(AND(A91="",B91="",D91="",F91="",H91="",K91="",O91=""),"",IF(D91="","Mode de défaillance manquant",IF(AND(A91&lt;&gt;"",COUNTIF(am_num,A91)&gt;1),"N° en double",IF(F91="","Gravité G manquante",IF(NOT(IF(ISNUMBER(F91),AND(F91&gt;=1,F91&lt;=10,F91=INT(F91)),FALSE)),"G : entier de 1 à 10",IF(H91="","Occurrence O manquante",IF(NOT(IF(ISNUMBER(H91),AND(H91&gt;=1,H91&lt;=10,H91=INT(H91)),FALSE)),"O : entier de 1 à 10",IF(K91="","Détection D manquante",IF(NOT(IF(ISNUMBER(K91),AND(K91&gt;=1,K91&lt;=10,K91=INT(K91)),FALSE)),"D : entier de 1 à 10",IF(G91="","Cause manquante",IF(AND(O91&lt;&gt;"",P91=""),"Responsable manquant",IF(AND(R91&lt;&gt;"",O91=""),"Statut sans action",IF(AND(R91="Réalisée",N(S91)=0),"Date de réalisation manquante",IF(AND(T91&lt;&gt;"",IF(ISNUMBER(T91),T91&lt;0,TRUE)),"Coût invalide",IF(AND(COUNTBLANK(U91:W91)&gt;0,COUNTBLANK(U91:W91)&lt;3),"Cotation après action incomplète",IF(AND(COUNTBLANK(U91:W91)=0,X91=""),"G', O', D' : entiers de 1 à 10",IF(AND(X91&lt;&gt;"",X91&gt;L91),"IPR après action plus élevé","OK")))))))))))))))))</f>
        <v/>
      </c>
      <c r="AC91" s="59" t="str">
        <f>IF(OR(AA91="En retard",AA91="Échéance proche",AA91="Dans les délais",AA91="Échéance manquante",AA91="Action à définir",AA91="À réévaluer"),IF(OR(plan_who="",P91=plan_who),IF(N(Q91)&gt;0,Q91,99999)*1000+ROW(),""),"")</f>
        <v/>
      </c>
      <c r="AD91" s="59" t="str">
        <f>IF(L91="","",L91*1000+1000-ROW())</f>
        <v/>
      </c>
      <c r="AE91" s="59" t="str">
        <f>IF(IF(AA91="En retard",1,IF(AA91="Action à définir",2,IF(AA91="Échéance manquante",3,IF(AA91="Échéance proche",4,IF(AA91="À réévaluer",5,0)))))=0,"",IF(AA91="En retard",1,IF(AA91="Action à définir",2,IF(AA91="Échéance manquante",3,IF(AA91="Échéance proche",4,IF(AA91="À réévaluer",5,0)))))*100000000+IF(N(Q91)&gt;0,Q91,99999)*1000+ROW())</f>
        <v/>
      </c>
      <c r="AF91" s="59" t="str">
        <f>IF(X91&lt;&gt;"",X91,L91)</f>
        <v/>
      </c>
      <c r="AG91" s="59" t="str">
        <f>IF(X91&lt;&gt;"",Y91,IF(L91&lt;&gt;"",M91,""))</f>
        <v/>
      </c>
      <c r="AH91" s="59" t="str">
        <f>IF(L91="","",IF(X91&lt;&gt;"",U91,F91))</f>
        <v/>
      </c>
      <c r="AI91" s="59" t="str">
        <f>IF(L91="","",IF(X91&lt;&gt;"",V91,H91))</f>
        <v/>
      </c>
    </row>
    <row r="92" ht="30" customHeight="1">
      <c r="A92" s="50" t="n"/>
      <c r="B92" s="51" t="n"/>
      <c r="C92" s="51" t="n"/>
      <c r="D92" s="51" t="n"/>
      <c r="E92" s="51" t="n"/>
      <c r="F92" s="52" t="n"/>
      <c r="G92" s="51" t="n"/>
      <c r="H92" s="52" t="n"/>
      <c r="I92" s="51" t="n"/>
      <c r="J92" s="51" t="n"/>
      <c r="K92" s="52" t="n"/>
      <c r="L92" s="53" t="str">
        <f>IF(AND(IF(ISNUMBER(F92),AND(F92&gt;=1,F92&lt;=10,F92=INT(F92)),FALSE),IF(ISNUMBER(H92),AND(H92&gt;=1,H92&lt;=10,H92=INT(H92)),FALSE),IF(ISNUMBER(K92),AND(K92&gt;=1,K92&lt;=10,K92=INT(K92)),FALSE)),F92*H92*K92,"")</f>
        <v/>
      </c>
      <c r="M92" s="54" t="str">
        <f>IF(L92="",IF(D92="","","À coter"),IF(OR(F92&gt;=p_gmin,L92&gt;=p_ipr_crit),"Critique",IF(L92&gt;=p_ipr_act,"Élevée",IF(L92&gt;=p_ipr_watch,"Moyenne","Faible"))))</f>
        <v/>
      </c>
      <c r="N92" s="54" t="str">
        <f>IF(OR(M92="",M92="À coter"),"",IF(OR(M92="Critique",M92="Élevée"),"Oui","Non"))</f>
        <v/>
      </c>
      <c r="O92" s="51" t="n"/>
      <c r="P92" s="51" t="n"/>
      <c r="Q92" s="55" t="n"/>
      <c r="R92" s="50" t="n"/>
      <c r="S92" s="55" t="n"/>
      <c r="T92" s="56" t="n"/>
      <c r="U92" s="52" t="n"/>
      <c r="V92" s="52" t="n"/>
      <c r="W92" s="52" t="n"/>
      <c r="X92" s="53" t="str">
        <f>IF(AND(L92&lt;&gt;"",IF(ISNUMBER(U92),AND(U92&gt;=1,U92&lt;=10,U92=INT(U92)),FALSE),IF(ISNUMBER(V92),AND(V92&gt;=1,V92&lt;=10,V92=INT(V92)),FALSE),IF(ISNUMBER(W92),AND(W92&gt;=1,W92&lt;=10,W92=INT(W92)),FALSE)),U92*V92*W92,"")</f>
        <v/>
      </c>
      <c r="Y92" s="54" t="str">
        <f>IF(X92="","",IF(OR(U92&gt;=p_gmin,X92&gt;=p_ipr_crit),"Critique",IF(X92&gt;=p_ipr_act,"Élevée",IF(X92&gt;=p_ipr_watch,"Moyenne","Faible"))))</f>
        <v/>
      </c>
      <c r="Z92" s="57" t="str">
        <f>IF(X92="","",(L92-X92)/L92)</f>
        <v/>
      </c>
      <c r="AA92" s="54" t="str">
        <f>IF(AND(D92="",O92=""),"",IF(O92="",IF(N92="Oui","Action à définir",IF(N92="Non","Sans action","")),IF(R92="Annulée","Annulée",IF(R92="Réalisée",IF(X92="","À réévaluer","Réalisée"),IF(N(Q92)=0,"Échéance manquante",IF(Q92&lt;p_today,"En retard",IF(Q92-p_today&lt;=p_alert,"Échéance proche","Dans les délais")))))))</f>
        <v/>
      </c>
      <c r="AB92" s="58" t="str">
        <f>IF(AND(A92="",B92="",D92="",F92="",H92="",K92="",O92=""),"",IF(D92="","Mode de défaillance manquant",IF(AND(A92&lt;&gt;"",COUNTIF(am_num,A92)&gt;1),"N° en double",IF(F92="","Gravité G manquante",IF(NOT(IF(ISNUMBER(F92),AND(F92&gt;=1,F92&lt;=10,F92=INT(F92)),FALSE)),"G : entier de 1 à 10",IF(H92="","Occurrence O manquante",IF(NOT(IF(ISNUMBER(H92),AND(H92&gt;=1,H92&lt;=10,H92=INT(H92)),FALSE)),"O : entier de 1 à 10",IF(K92="","Détection D manquante",IF(NOT(IF(ISNUMBER(K92),AND(K92&gt;=1,K92&lt;=10,K92=INT(K92)),FALSE)),"D : entier de 1 à 10",IF(G92="","Cause manquante",IF(AND(O92&lt;&gt;"",P92=""),"Responsable manquant",IF(AND(R92&lt;&gt;"",O92=""),"Statut sans action",IF(AND(R92="Réalisée",N(S92)=0),"Date de réalisation manquante",IF(AND(T92&lt;&gt;"",IF(ISNUMBER(T92),T92&lt;0,TRUE)),"Coût invalide",IF(AND(COUNTBLANK(U92:W92)&gt;0,COUNTBLANK(U92:W92)&lt;3),"Cotation après action incomplète",IF(AND(COUNTBLANK(U92:W92)=0,X92=""),"G', O', D' : entiers de 1 à 10",IF(AND(X92&lt;&gt;"",X92&gt;L92),"IPR après action plus élevé","OK")))))))))))))))))</f>
        <v/>
      </c>
      <c r="AC92" s="59" t="str">
        <f>IF(OR(AA92="En retard",AA92="Échéance proche",AA92="Dans les délais",AA92="Échéance manquante",AA92="Action à définir",AA92="À réévaluer"),IF(OR(plan_who="",P92=plan_who),IF(N(Q92)&gt;0,Q92,99999)*1000+ROW(),""),"")</f>
        <v/>
      </c>
      <c r="AD92" s="59" t="str">
        <f>IF(L92="","",L92*1000+1000-ROW())</f>
        <v/>
      </c>
      <c r="AE92" s="59" t="str">
        <f>IF(IF(AA92="En retard",1,IF(AA92="Action à définir",2,IF(AA92="Échéance manquante",3,IF(AA92="Échéance proche",4,IF(AA92="À réévaluer",5,0)))))=0,"",IF(AA92="En retard",1,IF(AA92="Action à définir",2,IF(AA92="Échéance manquante",3,IF(AA92="Échéance proche",4,IF(AA92="À réévaluer",5,0)))))*100000000+IF(N(Q92)&gt;0,Q92,99999)*1000+ROW())</f>
        <v/>
      </c>
      <c r="AF92" s="59" t="str">
        <f>IF(X92&lt;&gt;"",X92,L92)</f>
        <v/>
      </c>
      <c r="AG92" s="59" t="str">
        <f>IF(X92&lt;&gt;"",Y92,IF(L92&lt;&gt;"",M92,""))</f>
        <v/>
      </c>
      <c r="AH92" s="59" t="str">
        <f>IF(L92="","",IF(X92&lt;&gt;"",U92,F92))</f>
        <v/>
      </c>
      <c r="AI92" s="59" t="str">
        <f>IF(L92="","",IF(X92&lt;&gt;"",V92,H92))</f>
        <v/>
      </c>
    </row>
    <row r="93" ht="30" customHeight="1">
      <c r="A93" s="50" t="n"/>
      <c r="B93" s="51" t="n"/>
      <c r="C93" s="51" t="n"/>
      <c r="D93" s="51" t="n"/>
      <c r="E93" s="51" t="n"/>
      <c r="F93" s="52" t="n"/>
      <c r="G93" s="51" t="n"/>
      <c r="H93" s="52" t="n"/>
      <c r="I93" s="51" t="n"/>
      <c r="J93" s="51" t="n"/>
      <c r="K93" s="52" t="n"/>
      <c r="L93" s="53" t="str">
        <f>IF(AND(IF(ISNUMBER(F93),AND(F93&gt;=1,F93&lt;=10,F93=INT(F93)),FALSE),IF(ISNUMBER(H93),AND(H93&gt;=1,H93&lt;=10,H93=INT(H93)),FALSE),IF(ISNUMBER(K93),AND(K93&gt;=1,K93&lt;=10,K93=INT(K93)),FALSE)),F93*H93*K93,"")</f>
        <v/>
      </c>
      <c r="M93" s="54" t="str">
        <f>IF(L93="",IF(D93="","","À coter"),IF(OR(F93&gt;=p_gmin,L93&gt;=p_ipr_crit),"Critique",IF(L93&gt;=p_ipr_act,"Élevée",IF(L93&gt;=p_ipr_watch,"Moyenne","Faible"))))</f>
        <v/>
      </c>
      <c r="N93" s="54" t="str">
        <f>IF(OR(M93="",M93="À coter"),"",IF(OR(M93="Critique",M93="Élevée"),"Oui","Non"))</f>
        <v/>
      </c>
      <c r="O93" s="51" t="n"/>
      <c r="P93" s="51" t="n"/>
      <c r="Q93" s="55" t="n"/>
      <c r="R93" s="50" t="n"/>
      <c r="S93" s="55" t="n"/>
      <c r="T93" s="56" t="n"/>
      <c r="U93" s="52" t="n"/>
      <c r="V93" s="52" t="n"/>
      <c r="W93" s="52" t="n"/>
      <c r="X93" s="53" t="str">
        <f>IF(AND(L93&lt;&gt;"",IF(ISNUMBER(U93),AND(U93&gt;=1,U93&lt;=10,U93=INT(U93)),FALSE),IF(ISNUMBER(V93),AND(V93&gt;=1,V93&lt;=10,V93=INT(V93)),FALSE),IF(ISNUMBER(W93),AND(W93&gt;=1,W93&lt;=10,W93=INT(W93)),FALSE)),U93*V93*W93,"")</f>
        <v/>
      </c>
      <c r="Y93" s="54" t="str">
        <f>IF(X93="","",IF(OR(U93&gt;=p_gmin,X93&gt;=p_ipr_crit),"Critique",IF(X93&gt;=p_ipr_act,"Élevée",IF(X93&gt;=p_ipr_watch,"Moyenne","Faible"))))</f>
        <v/>
      </c>
      <c r="Z93" s="57" t="str">
        <f>IF(X93="","",(L93-X93)/L93)</f>
        <v/>
      </c>
      <c r="AA93" s="54" t="str">
        <f>IF(AND(D93="",O93=""),"",IF(O93="",IF(N93="Oui","Action à définir",IF(N93="Non","Sans action","")),IF(R93="Annulée","Annulée",IF(R93="Réalisée",IF(X93="","À réévaluer","Réalisée"),IF(N(Q93)=0,"Échéance manquante",IF(Q93&lt;p_today,"En retard",IF(Q93-p_today&lt;=p_alert,"Échéance proche","Dans les délais")))))))</f>
        <v/>
      </c>
      <c r="AB93" s="58" t="str">
        <f>IF(AND(A93="",B93="",D93="",F93="",H93="",K93="",O93=""),"",IF(D93="","Mode de défaillance manquant",IF(AND(A93&lt;&gt;"",COUNTIF(am_num,A93)&gt;1),"N° en double",IF(F93="","Gravité G manquante",IF(NOT(IF(ISNUMBER(F93),AND(F93&gt;=1,F93&lt;=10,F93=INT(F93)),FALSE)),"G : entier de 1 à 10",IF(H93="","Occurrence O manquante",IF(NOT(IF(ISNUMBER(H93),AND(H93&gt;=1,H93&lt;=10,H93=INT(H93)),FALSE)),"O : entier de 1 à 10",IF(K93="","Détection D manquante",IF(NOT(IF(ISNUMBER(K93),AND(K93&gt;=1,K93&lt;=10,K93=INT(K93)),FALSE)),"D : entier de 1 à 10",IF(G93="","Cause manquante",IF(AND(O93&lt;&gt;"",P93=""),"Responsable manquant",IF(AND(R93&lt;&gt;"",O93=""),"Statut sans action",IF(AND(R93="Réalisée",N(S93)=0),"Date de réalisation manquante",IF(AND(T93&lt;&gt;"",IF(ISNUMBER(T93),T93&lt;0,TRUE)),"Coût invalide",IF(AND(COUNTBLANK(U93:W93)&gt;0,COUNTBLANK(U93:W93)&lt;3),"Cotation après action incomplète",IF(AND(COUNTBLANK(U93:W93)=0,X93=""),"G', O', D' : entiers de 1 à 10",IF(AND(X93&lt;&gt;"",X93&gt;L93),"IPR après action plus élevé","OK")))))))))))))))))</f>
        <v/>
      </c>
      <c r="AC93" s="59" t="str">
        <f>IF(OR(AA93="En retard",AA93="Échéance proche",AA93="Dans les délais",AA93="Échéance manquante",AA93="Action à définir",AA93="À réévaluer"),IF(OR(plan_who="",P93=plan_who),IF(N(Q93)&gt;0,Q93,99999)*1000+ROW(),""),"")</f>
        <v/>
      </c>
      <c r="AD93" s="59" t="str">
        <f>IF(L93="","",L93*1000+1000-ROW())</f>
        <v/>
      </c>
      <c r="AE93" s="59" t="str">
        <f>IF(IF(AA93="En retard",1,IF(AA93="Action à définir",2,IF(AA93="Échéance manquante",3,IF(AA93="Échéance proche",4,IF(AA93="À réévaluer",5,0)))))=0,"",IF(AA93="En retard",1,IF(AA93="Action à définir",2,IF(AA93="Échéance manquante",3,IF(AA93="Échéance proche",4,IF(AA93="À réévaluer",5,0)))))*100000000+IF(N(Q93)&gt;0,Q93,99999)*1000+ROW())</f>
        <v/>
      </c>
      <c r="AF93" s="59" t="str">
        <f>IF(X93&lt;&gt;"",X93,L93)</f>
        <v/>
      </c>
      <c r="AG93" s="59" t="str">
        <f>IF(X93&lt;&gt;"",Y93,IF(L93&lt;&gt;"",M93,""))</f>
        <v/>
      </c>
      <c r="AH93" s="59" t="str">
        <f>IF(L93="","",IF(X93&lt;&gt;"",U93,F93))</f>
        <v/>
      </c>
      <c r="AI93" s="59" t="str">
        <f>IF(L93="","",IF(X93&lt;&gt;"",V93,H93))</f>
        <v/>
      </c>
    </row>
    <row r="94" ht="30" customHeight="1">
      <c r="A94" s="50" t="n"/>
      <c r="B94" s="51" t="n"/>
      <c r="C94" s="51" t="n"/>
      <c r="D94" s="51" t="n"/>
      <c r="E94" s="51" t="n"/>
      <c r="F94" s="52" t="n"/>
      <c r="G94" s="51" t="n"/>
      <c r="H94" s="52" t="n"/>
      <c r="I94" s="51" t="n"/>
      <c r="J94" s="51" t="n"/>
      <c r="K94" s="52" t="n"/>
      <c r="L94" s="53" t="str">
        <f>IF(AND(IF(ISNUMBER(F94),AND(F94&gt;=1,F94&lt;=10,F94=INT(F94)),FALSE),IF(ISNUMBER(H94),AND(H94&gt;=1,H94&lt;=10,H94=INT(H94)),FALSE),IF(ISNUMBER(K94),AND(K94&gt;=1,K94&lt;=10,K94=INT(K94)),FALSE)),F94*H94*K94,"")</f>
        <v/>
      </c>
      <c r="M94" s="54" t="str">
        <f>IF(L94="",IF(D94="","","À coter"),IF(OR(F94&gt;=p_gmin,L94&gt;=p_ipr_crit),"Critique",IF(L94&gt;=p_ipr_act,"Élevée",IF(L94&gt;=p_ipr_watch,"Moyenne","Faible"))))</f>
        <v/>
      </c>
      <c r="N94" s="54" t="str">
        <f>IF(OR(M94="",M94="À coter"),"",IF(OR(M94="Critique",M94="Élevée"),"Oui","Non"))</f>
        <v/>
      </c>
      <c r="O94" s="51" t="n"/>
      <c r="P94" s="51" t="n"/>
      <c r="Q94" s="55" t="n"/>
      <c r="R94" s="50" t="n"/>
      <c r="S94" s="55" t="n"/>
      <c r="T94" s="56" t="n"/>
      <c r="U94" s="52" t="n"/>
      <c r="V94" s="52" t="n"/>
      <c r="W94" s="52" t="n"/>
      <c r="X94" s="53" t="str">
        <f>IF(AND(L94&lt;&gt;"",IF(ISNUMBER(U94),AND(U94&gt;=1,U94&lt;=10,U94=INT(U94)),FALSE),IF(ISNUMBER(V94),AND(V94&gt;=1,V94&lt;=10,V94=INT(V94)),FALSE),IF(ISNUMBER(W94),AND(W94&gt;=1,W94&lt;=10,W94=INT(W94)),FALSE)),U94*V94*W94,"")</f>
        <v/>
      </c>
      <c r="Y94" s="54" t="str">
        <f>IF(X94="","",IF(OR(U94&gt;=p_gmin,X94&gt;=p_ipr_crit),"Critique",IF(X94&gt;=p_ipr_act,"Élevée",IF(X94&gt;=p_ipr_watch,"Moyenne","Faible"))))</f>
        <v/>
      </c>
      <c r="Z94" s="57" t="str">
        <f>IF(X94="","",(L94-X94)/L94)</f>
        <v/>
      </c>
      <c r="AA94" s="54" t="str">
        <f>IF(AND(D94="",O94=""),"",IF(O94="",IF(N94="Oui","Action à définir",IF(N94="Non","Sans action","")),IF(R94="Annulée","Annulée",IF(R94="Réalisée",IF(X94="","À réévaluer","Réalisée"),IF(N(Q94)=0,"Échéance manquante",IF(Q94&lt;p_today,"En retard",IF(Q94-p_today&lt;=p_alert,"Échéance proche","Dans les délais")))))))</f>
        <v/>
      </c>
      <c r="AB94" s="58" t="str">
        <f>IF(AND(A94="",B94="",D94="",F94="",H94="",K94="",O94=""),"",IF(D94="","Mode de défaillance manquant",IF(AND(A94&lt;&gt;"",COUNTIF(am_num,A94)&gt;1),"N° en double",IF(F94="","Gravité G manquante",IF(NOT(IF(ISNUMBER(F94),AND(F94&gt;=1,F94&lt;=10,F94=INT(F94)),FALSE)),"G : entier de 1 à 10",IF(H94="","Occurrence O manquante",IF(NOT(IF(ISNUMBER(H94),AND(H94&gt;=1,H94&lt;=10,H94=INT(H94)),FALSE)),"O : entier de 1 à 10",IF(K94="","Détection D manquante",IF(NOT(IF(ISNUMBER(K94),AND(K94&gt;=1,K94&lt;=10,K94=INT(K94)),FALSE)),"D : entier de 1 à 10",IF(G94="","Cause manquante",IF(AND(O94&lt;&gt;"",P94=""),"Responsable manquant",IF(AND(R94&lt;&gt;"",O94=""),"Statut sans action",IF(AND(R94="Réalisée",N(S94)=0),"Date de réalisation manquante",IF(AND(T94&lt;&gt;"",IF(ISNUMBER(T94),T94&lt;0,TRUE)),"Coût invalide",IF(AND(COUNTBLANK(U94:W94)&gt;0,COUNTBLANK(U94:W94)&lt;3),"Cotation après action incomplète",IF(AND(COUNTBLANK(U94:W94)=0,X94=""),"G', O', D' : entiers de 1 à 10",IF(AND(X94&lt;&gt;"",X94&gt;L94),"IPR après action plus élevé","OK")))))))))))))))))</f>
        <v/>
      </c>
      <c r="AC94" s="59" t="str">
        <f>IF(OR(AA94="En retard",AA94="Échéance proche",AA94="Dans les délais",AA94="Échéance manquante",AA94="Action à définir",AA94="À réévaluer"),IF(OR(plan_who="",P94=plan_who),IF(N(Q94)&gt;0,Q94,99999)*1000+ROW(),""),"")</f>
        <v/>
      </c>
      <c r="AD94" s="59" t="str">
        <f>IF(L94="","",L94*1000+1000-ROW())</f>
        <v/>
      </c>
      <c r="AE94" s="59" t="str">
        <f>IF(IF(AA94="En retard",1,IF(AA94="Action à définir",2,IF(AA94="Échéance manquante",3,IF(AA94="Échéance proche",4,IF(AA94="À réévaluer",5,0)))))=0,"",IF(AA94="En retard",1,IF(AA94="Action à définir",2,IF(AA94="Échéance manquante",3,IF(AA94="Échéance proche",4,IF(AA94="À réévaluer",5,0)))))*100000000+IF(N(Q94)&gt;0,Q94,99999)*1000+ROW())</f>
        <v/>
      </c>
      <c r="AF94" s="59" t="str">
        <f>IF(X94&lt;&gt;"",X94,L94)</f>
        <v/>
      </c>
      <c r="AG94" s="59" t="str">
        <f>IF(X94&lt;&gt;"",Y94,IF(L94&lt;&gt;"",M94,""))</f>
        <v/>
      </c>
      <c r="AH94" s="59" t="str">
        <f>IF(L94="","",IF(X94&lt;&gt;"",U94,F94))</f>
        <v/>
      </c>
      <c r="AI94" s="59" t="str">
        <f>IF(L94="","",IF(X94&lt;&gt;"",V94,H94))</f>
        <v/>
      </c>
    </row>
    <row r="95" ht="30" customHeight="1">
      <c r="A95" s="50" t="n"/>
      <c r="B95" s="51" t="n"/>
      <c r="C95" s="51" t="n"/>
      <c r="D95" s="51" t="n"/>
      <c r="E95" s="51" t="n"/>
      <c r="F95" s="52" t="n"/>
      <c r="G95" s="51" t="n"/>
      <c r="H95" s="52" t="n"/>
      <c r="I95" s="51" t="n"/>
      <c r="J95" s="51" t="n"/>
      <c r="K95" s="52" t="n"/>
      <c r="L95" s="53" t="str">
        <f>IF(AND(IF(ISNUMBER(F95),AND(F95&gt;=1,F95&lt;=10,F95=INT(F95)),FALSE),IF(ISNUMBER(H95),AND(H95&gt;=1,H95&lt;=10,H95=INT(H95)),FALSE),IF(ISNUMBER(K95),AND(K95&gt;=1,K95&lt;=10,K95=INT(K95)),FALSE)),F95*H95*K95,"")</f>
        <v/>
      </c>
      <c r="M95" s="54" t="str">
        <f>IF(L95="",IF(D95="","","À coter"),IF(OR(F95&gt;=p_gmin,L95&gt;=p_ipr_crit),"Critique",IF(L95&gt;=p_ipr_act,"Élevée",IF(L95&gt;=p_ipr_watch,"Moyenne","Faible"))))</f>
        <v/>
      </c>
      <c r="N95" s="54" t="str">
        <f>IF(OR(M95="",M95="À coter"),"",IF(OR(M95="Critique",M95="Élevée"),"Oui","Non"))</f>
        <v/>
      </c>
      <c r="O95" s="51" t="n"/>
      <c r="P95" s="51" t="n"/>
      <c r="Q95" s="55" t="n"/>
      <c r="R95" s="50" t="n"/>
      <c r="S95" s="55" t="n"/>
      <c r="T95" s="56" t="n"/>
      <c r="U95" s="52" t="n"/>
      <c r="V95" s="52" t="n"/>
      <c r="W95" s="52" t="n"/>
      <c r="X95" s="53" t="str">
        <f>IF(AND(L95&lt;&gt;"",IF(ISNUMBER(U95),AND(U95&gt;=1,U95&lt;=10,U95=INT(U95)),FALSE),IF(ISNUMBER(V95),AND(V95&gt;=1,V95&lt;=10,V95=INT(V95)),FALSE),IF(ISNUMBER(W95),AND(W95&gt;=1,W95&lt;=10,W95=INT(W95)),FALSE)),U95*V95*W95,"")</f>
        <v/>
      </c>
      <c r="Y95" s="54" t="str">
        <f>IF(X95="","",IF(OR(U95&gt;=p_gmin,X95&gt;=p_ipr_crit),"Critique",IF(X95&gt;=p_ipr_act,"Élevée",IF(X95&gt;=p_ipr_watch,"Moyenne","Faible"))))</f>
        <v/>
      </c>
      <c r="Z95" s="57" t="str">
        <f>IF(X95="","",(L95-X95)/L95)</f>
        <v/>
      </c>
      <c r="AA95" s="54" t="str">
        <f>IF(AND(D95="",O95=""),"",IF(O95="",IF(N95="Oui","Action à définir",IF(N95="Non","Sans action","")),IF(R95="Annulée","Annulée",IF(R95="Réalisée",IF(X95="","À réévaluer","Réalisée"),IF(N(Q95)=0,"Échéance manquante",IF(Q95&lt;p_today,"En retard",IF(Q95-p_today&lt;=p_alert,"Échéance proche","Dans les délais")))))))</f>
        <v/>
      </c>
      <c r="AB95" s="58" t="str">
        <f>IF(AND(A95="",B95="",D95="",F95="",H95="",K95="",O95=""),"",IF(D95="","Mode de défaillance manquant",IF(AND(A95&lt;&gt;"",COUNTIF(am_num,A95)&gt;1),"N° en double",IF(F95="","Gravité G manquante",IF(NOT(IF(ISNUMBER(F95),AND(F95&gt;=1,F95&lt;=10,F95=INT(F95)),FALSE)),"G : entier de 1 à 10",IF(H95="","Occurrence O manquante",IF(NOT(IF(ISNUMBER(H95),AND(H95&gt;=1,H95&lt;=10,H95=INT(H95)),FALSE)),"O : entier de 1 à 10",IF(K95="","Détection D manquante",IF(NOT(IF(ISNUMBER(K95),AND(K95&gt;=1,K95&lt;=10,K95=INT(K95)),FALSE)),"D : entier de 1 à 10",IF(G95="","Cause manquante",IF(AND(O95&lt;&gt;"",P95=""),"Responsable manquant",IF(AND(R95&lt;&gt;"",O95=""),"Statut sans action",IF(AND(R95="Réalisée",N(S95)=0),"Date de réalisation manquante",IF(AND(T95&lt;&gt;"",IF(ISNUMBER(T95),T95&lt;0,TRUE)),"Coût invalide",IF(AND(COUNTBLANK(U95:W95)&gt;0,COUNTBLANK(U95:W95)&lt;3),"Cotation après action incomplète",IF(AND(COUNTBLANK(U95:W95)=0,X95=""),"G', O', D' : entiers de 1 à 10",IF(AND(X95&lt;&gt;"",X95&gt;L95),"IPR après action plus élevé","OK")))))))))))))))))</f>
        <v/>
      </c>
      <c r="AC95" s="59" t="str">
        <f>IF(OR(AA95="En retard",AA95="Échéance proche",AA95="Dans les délais",AA95="Échéance manquante",AA95="Action à définir",AA95="À réévaluer"),IF(OR(plan_who="",P95=plan_who),IF(N(Q95)&gt;0,Q95,99999)*1000+ROW(),""),"")</f>
        <v/>
      </c>
      <c r="AD95" s="59" t="str">
        <f>IF(L95="","",L95*1000+1000-ROW())</f>
        <v/>
      </c>
      <c r="AE95" s="59" t="str">
        <f>IF(IF(AA95="En retard",1,IF(AA95="Action à définir",2,IF(AA95="Échéance manquante",3,IF(AA95="Échéance proche",4,IF(AA95="À réévaluer",5,0)))))=0,"",IF(AA95="En retard",1,IF(AA95="Action à définir",2,IF(AA95="Échéance manquante",3,IF(AA95="Échéance proche",4,IF(AA95="À réévaluer",5,0)))))*100000000+IF(N(Q95)&gt;0,Q95,99999)*1000+ROW())</f>
        <v/>
      </c>
      <c r="AF95" s="59" t="str">
        <f>IF(X95&lt;&gt;"",X95,L95)</f>
        <v/>
      </c>
      <c r="AG95" s="59" t="str">
        <f>IF(X95&lt;&gt;"",Y95,IF(L95&lt;&gt;"",M95,""))</f>
        <v/>
      </c>
      <c r="AH95" s="59" t="str">
        <f>IF(L95="","",IF(X95&lt;&gt;"",U95,F95))</f>
        <v/>
      </c>
      <c r="AI95" s="59" t="str">
        <f>IF(L95="","",IF(X95&lt;&gt;"",V95,H95))</f>
        <v/>
      </c>
    </row>
    <row r="96" ht="30" customHeight="1">
      <c r="A96" s="50" t="n"/>
      <c r="B96" s="51" t="n"/>
      <c r="C96" s="51" t="n"/>
      <c r="D96" s="51" t="n"/>
      <c r="E96" s="51" t="n"/>
      <c r="F96" s="52" t="n"/>
      <c r="G96" s="51" t="n"/>
      <c r="H96" s="52" t="n"/>
      <c r="I96" s="51" t="n"/>
      <c r="J96" s="51" t="n"/>
      <c r="K96" s="52" t="n"/>
      <c r="L96" s="53" t="str">
        <f>IF(AND(IF(ISNUMBER(F96),AND(F96&gt;=1,F96&lt;=10,F96=INT(F96)),FALSE),IF(ISNUMBER(H96),AND(H96&gt;=1,H96&lt;=10,H96=INT(H96)),FALSE),IF(ISNUMBER(K96),AND(K96&gt;=1,K96&lt;=10,K96=INT(K96)),FALSE)),F96*H96*K96,"")</f>
        <v/>
      </c>
      <c r="M96" s="54" t="str">
        <f>IF(L96="",IF(D96="","","À coter"),IF(OR(F96&gt;=p_gmin,L96&gt;=p_ipr_crit),"Critique",IF(L96&gt;=p_ipr_act,"Élevée",IF(L96&gt;=p_ipr_watch,"Moyenne","Faible"))))</f>
        <v/>
      </c>
      <c r="N96" s="54" t="str">
        <f>IF(OR(M96="",M96="À coter"),"",IF(OR(M96="Critique",M96="Élevée"),"Oui","Non"))</f>
        <v/>
      </c>
      <c r="O96" s="51" t="n"/>
      <c r="P96" s="51" t="n"/>
      <c r="Q96" s="55" t="n"/>
      <c r="R96" s="50" t="n"/>
      <c r="S96" s="55" t="n"/>
      <c r="T96" s="56" t="n"/>
      <c r="U96" s="52" t="n"/>
      <c r="V96" s="52" t="n"/>
      <c r="W96" s="52" t="n"/>
      <c r="X96" s="53" t="str">
        <f>IF(AND(L96&lt;&gt;"",IF(ISNUMBER(U96),AND(U96&gt;=1,U96&lt;=10,U96=INT(U96)),FALSE),IF(ISNUMBER(V96),AND(V96&gt;=1,V96&lt;=10,V96=INT(V96)),FALSE),IF(ISNUMBER(W96),AND(W96&gt;=1,W96&lt;=10,W96=INT(W96)),FALSE)),U96*V96*W96,"")</f>
        <v/>
      </c>
      <c r="Y96" s="54" t="str">
        <f>IF(X96="","",IF(OR(U96&gt;=p_gmin,X96&gt;=p_ipr_crit),"Critique",IF(X96&gt;=p_ipr_act,"Élevée",IF(X96&gt;=p_ipr_watch,"Moyenne","Faible"))))</f>
        <v/>
      </c>
      <c r="Z96" s="57" t="str">
        <f>IF(X96="","",(L96-X96)/L96)</f>
        <v/>
      </c>
      <c r="AA96" s="54" t="str">
        <f>IF(AND(D96="",O96=""),"",IF(O96="",IF(N96="Oui","Action à définir",IF(N96="Non","Sans action","")),IF(R96="Annulée","Annulée",IF(R96="Réalisée",IF(X96="","À réévaluer","Réalisée"),IF(N(Q96)=0,"Échéance manquante",IF(Q96&lt;p_today,"En retard",IF(Q96-p_today&lt;=p_alert,"Échéance proche","Dans les délais")))))))</f>
        <v/>
      </c>
      <c r="AB96" s="58" t="str">
        <f>IF(AND(A96="",B96="",D96="",F96="",H96="",K96="",O96=""),"",IF(D96="","Mode de défaillance manquant",IF(AND(A96&lt;&gt;"",COUNTIF(am_num,A96)&gt;1),"N° en double",IF(F96="","Gravité G manquante",IF(NOT(IF(ISNUMBER(F96),AND(F96&gt;=1,F96&lt;=10,F96=INT(F96)),FALSE)),"G : entier de 1 à 10",IF(H96="","Occurrence O manquante",IF(NOT(IF(ISNUMBER(H96),AND(H96&gt;=1,H96&lt;=10,H96=INT(H96)),FALSE)),"O : entier de 1 à 10",IF(K96="","Détection D manquante",IF(NOT(IF(ISNUMBER(K96),AND(K96&gt;=1,K96&lt;=10,K96=INT(K96)),FALSE)),"D : entier de 1 à 10",IF(G96="","Cause manquante",IF(AND(O96&lt;&gt;"",P96=""),"Responsable manquant",IF(AND(R96&lt;&gt;"",O96=""),"Statut sans action",IF(AND(R96="Réalisée",N(S96)=0),"Date de réalisation manquante",IF(AND(T96&lt;&gt;"",IF(ISNUMBER(T96),T96&lt;0,TRUE)),"Coût invalide",IF(AND(COUNTBLANK(U96:W96)&gt;0,COUNTBLANK(U96:W96)&lt;3),"Cotation après action incomplète",IF(AND(COUNTBLANK(U96:W96)=0,X96=""),"G', O', D' : entiers de 1 à 10",IF(AND(X96&lt;&gt;"",X96&gt;L96),"IPR après action plus élevé","OK")))))))))))))))))</f>
        <v/>
      </c>
      <c r="AC96" s="59" t="str">
        <f>IF(OR(AA96="En retard",AA96="Échéance proche",AA96="Dans les délais",AA96="Échéance manquante",AA96="Action à définir",AA96="À réévaluer"),IF(OR(plan_who="",P96=plan_who),IF(N(Q96)&gt;0,Q96,99999)*1000+ROW(),""),"")</f>
        <v/>
      </c>
      <c r="AD96" s="59" t="str">
        <f>IF(L96="","",L96*1000+1000-ROW())</f>
        <v/>
      </c>
      <c r="AE96" s="59" t="str">
        <f>IF(IF(AA96="En retard",1,IF(AA96="Action à définir",2,IF(AA96="Échéance manquante",3,IF(AA96="Échéance proche",4,IF(AA96="À réévaluer",5,0)))))=0,"",IF(AA96="En retard",1,IF(AA96="Action à définir",2,IF(AA96="Échéance manquante",3,IF(AA96="Échéance proche",4,IF(AA96="À réévaluer",5,0)))))*100000000+IF(N(Q96)&gt;0,Q96,99999)*1000+ROW())</f>
        <v/>
      </c>
      <c r="AF96" s="59" t="str">
        <f>IF(X96&lt;&gt;"",X96,L96)</f>
        <v/>
      </c>
      <c r="AG96" s="59" t="str">
        <f>IF(X96&lt;&gt;"",Y96,IF(L96&lt;&gt;"",M96,""))</f>
        <v/>
      </c>
      <c r="AH96" s="59" t="str">
        <f>IF(L96="","",IF(X96&lt;&gt;"",U96,F96))</f>
        <v/>
      </c>
      <c r="AI96" s="59" t="str">
        <f>IF(L96="","",IF(X96&lt;&gt;"",V96,H96))</f>
        <v/>
      </c>
    </row>
    <row r="97" ht="30" customHeight="1">
      <c r="A97" s="50" t="n"/>
      <c r="B97" s="51" t="n"/>
      <c r="C97" s="51" t="n"/>
      <c r="D97" s="51" t="n"/>
      <c r="E97" s="51" t="n"/>
      <c r="F97" s="52" t="n"/>
      <c r="G97" s="51" t="n"/>
      <c r="H97" s="52" t="n"/>
      <c r="I97" s="51" t="n"/>
      <c r="J97" s="51" t="n"/>
      <c r="K97" s="52" t="n"/>
      <c r="L97" s="53" t="str">
        <f>IF(AND(IF(ISNUMBER(F97),AND(F97&gt;=1,F97&lt;=10,F97=INT(F97)),FALSE),IF(ISNUMBER(H97),AND(H97&gt;=1,H97&lt;=10,H97=INT(H97)),FALSE),IF(ISNUMBER(K97),AND(K97&gt;=1,K97&lt;=10,K97=INT(K97)),FALSE)),F97*H97*K97,"")</f>
        <v/>
      </c>
      <c r="M97" s="54" t="str">
        <f>IF(L97="",IF(D97="","","À coter"),IF(OR(F97&gt;=p_gmin,L97&gt;=p_ipr_crit),"Critique",IF(L97&gt;=p_ipr_act,"Élevée",IF(L97&gt;=p_ipr_watch,"Moyenne","Faible"))))</f>
        <v/>
      </c>
      <c r="N97" s="54" t="str">
        <f>IF(OR(M97="",M97="À coter"),"",IF(OR(M97="Critique",M97="Élevée"),"Oui","Non"))</f>
        <v/>
      </c>
      <c r="O97" s="51" t="n"/>
      <c r="P97" s="51" t="n"/>
      <c r="Q97" s="55" t="n"/>
      <c r="R97" s="50" t="n"/>
      <c r="S97" s="55" t="n"/>
      <c r="T97" s="56" t="n"/>
      <c r="U97" s="52" t="n"/>
      <c r="V97" s="52" t="n"/>
      <c r="W97" s="52" t="n"/>
      <c r="X97" s="53" t="str">
        <f>IF(AND(L97&lt;&gt;"",IF(ISNUMBER(U97),AND(U97&gt;=1,U97&lt;=10,U97=INT(U97)),FALSE),IF(ISNUMBER(V97),AND(V97&gt;=1,V97&lt;=10,V97=INT(V97)),FALSE),IF(ISNUMBER(W97),AND(W97&gt;=1,W97&lt;=10,W97=INT(W97)),FALSE)),U97*V97*W97,"")</f>
        <v/>
      </c>
      <c r="Y97" s="54" t="str">
        <f>IF(X97="","",IF(OR(U97&gt;=p_gmin,X97&gt;=p_ipr_crit),"Critique",IF(X97&gt;=p_ipr_act,"Élevée",IF(X97&gt;=p_ipr_watch,"Moyenne","Faible"))))</f>
        <v/>
      </c>
      <c r="Z97" s="57" t="str">
        <f>IF(X97="","",(L97-X97)/L97)</f>
        <v/>
      </c>
      <c r="AA97" s="54" t="str">
        <f>IF(AND(D97="",O97=""),"",IF(O97="",IF(N97="Oui","Action à définir",IF(N97="Non","Sans action","")),IF(R97="Annulée","Annulée",IF(R97="Réalisée",IF(X97="","À réévaluer","Réalisée"),IF(N(Q97)=0,"Échéance manquante",IF(Q97&lt;p_today,"En retard",IF(Q97-p_today&lt;=p_alert,"Échéance proche","Dans les délais")))))))</f>
        <v/>
      </c>
      <c r="AB97" s="58" t="str">
        <f>IF(AND(A97="",B97="",D97="",F97="",H97="",K97="",O97=""),"",IF(D97="","Mode de défaillance manquant",IF(AND(A97&lt;&gt;"",COUNTIF(am_num,A97)&gt;1),"N° en double",IF(F97="","Gravité G manquante",IF(NOT(IF(ISNUMBER(F97),AND(F97&gt;=1,F97&lt;=10,F97=INT(F97)),FALSE)),"G : entier de 1 à 10",IF(H97="","Occurrence O manquante",IF(NOT(IF(ISNUMBER(H97),AND(H97&gt;=1,H97&lt;=10,H97=INT(H97)),FALSE)),"O : entier de 1 à 10",IF(K97="","Détection D manquante",IF(NOT(IF(ISNUMBER(K97),AND(K97&gt;=1,K97&lt;=10,K97=INT(K97)),FALSE)),"D : entier de 1 à 10",IF(G97="","Cause manquante",IF(AND(O97&lt;&gt;"",P97=""),"Responsable manquant",IF(AND(R97&lt;&gt;"",O97=""),"Statut sans action",IF(AND(R97="Réalisée",N(S97)=0),"Date de réalisation manquante",IF(AND(T97&lt;&gt;"",IF(ISNUMBER(T97),T97&lt;0,TRUE)),"Coût invalide",IF(AND(COUNTBLANK(U97:W97)&gt;0,COUNTBLANK(U97:W97)&lt;3),"Cotation après action incomplète",IF(AND(COUNTBLANK(U97:W97)=0,X97=""),"G', O', D' : entiers de 1 à 10",IF(AND(X97&lt;&gt;"",X97&gt;L97),"IPR après action plus élevé","OK")))))))))))))))))</f>
        <v/>
      </c>
      <c r="AC97" s="59" t="str">
        <f>IF(OR(AA97="En retard",AA97="Échéance proche",AA97="Dans les délais",AA97="Échéance manquante",AA97="Action à définir",AA97="À réévaluer"),IF(OR(plan_who="",P97=plan_who),IF(N(Q97)&gt;0,Q97,99999)*1000+ROW(),""),"")</f>
        <v/>
      </c>
      <c r="AD97" s="59" t="str">
        <f>IF(L97="","",L97*1000+1000-ROW())</f>
        <v/>
      </c>
      <c r="AE97" s="59" t="str">
        <f>IF(IF(AA97="En retard",1,IF(AA97="Action à définir",2,IF(AA97="Échéance manquante",3,IF(AA97="Échéance proche",4,IF(AA97="À réévaluer",5,0)))))=0,"",IF(AA97="En retard",1,IF(AA97="Action à définir",2,IF(AA97="Échéance manquante",3,IF(AA97="Échéance proche",4,IF(AA97="À réévaluer",5,0)))))*100000000+IF(N(Q97)&gt;0,Q97,99999)*1000+ROW())</f>
        <v/>
      </c>
      <c r="AF97" s="59" t="str">
        <f>IF(X97&lt;&gt;"",X97,L97)</f>
        <v/>
      </c>
      <c r="AG97" s="59" t="str">
        <f>IF(X97&lt;&gt;"",Y97,IF(L97&lt;&gt;"",M97,""))</f>
        <v/>
      </c>
      <c r="AH97" s="59" t="str">
        <f>IF(L97="","",IF(X97&lt;&gt;"",U97,F97))</f>
        <v/>
      </c>
      <c r="AI97" s="59" t="str">
        <f>IF(L97="","",IF(X97&lt;&gt;"",V97,H97))</f>
        <v/>
      </c>
    </row>
    <row r="98" ht="30" customHeight="1">
      <c r="A98" s="50" t="n"/>
      <c r="B98" s="51" t="n"/>
      <c r="C98" s="51" t="n"/>
      <c r="D98" s="51" t="n"/>
      <c r="E98" s="51" t="n"/>
      <c r="F98" s="52" t="n"/>
      <c r="G98" s="51" t="n"/>
      <c r="H98" s="52" t="n"/>
      <c r="I98" s="51" t="n"/>
      <c r="J98" s="51" t="n"/>
      <c r="K98" s="52" t="n"/>
      <c r="L98" s="53" t="str">
        <f>IF(AND(IF(ISNUMBER(F98),AND(F98&gt;=1,F98&lt;=10,F98=INT(F98)),FALSE),IF(ISNUMBER(H98),AND(H98&gt;=1,H98&lt;=10,H98=INT(H98)),FALSE),IF(ISNUMBER(K98),AND(K98&gt;=1,K98&lt;=10,K98=INT(K98)),FALSE)),F98*H98*K98,"")</f>
        <v/>
      </c>
      <c r="M98" s="54" t="str">
        <f>IF(L98="",IF(D98="","","À coter"),IF(OR(F98&gt;=p_gmin,L98&gt;=p_ipr_crit),"Critique",IF(L98&gt;=p_ipr_act,"Élevée",IF(L98&gt;=p_ipr_watch,"Moyenne","Faible"))))</f>
        <v/>
      </c>
      <c r="N98" s="54" t="str">
        <f>IF(OR(M98="",M98="À coter"),"",IF(OR(M98="Critique",M98="Élevée"),"Oui","Non"))</f>
        <v/>
      </c>
      <c r="O98" s="51" t="n"/>
      <c r="P98" s="51" t="n"/>
      <c r="Q98" s="55" t="n"/>
      <c r="R98" s="50" t="n"/>
      <c r="S98" s="55" t="n"/>
      <c r="T98" s="56" t="n"/>
      <c r="U98" s="52" t="n"/>
      <c r="V98" s="52" t="n"/>
      <c r="W98" s="52" t="n"/>
      <c r="X98" s="53" t="str">
        <f>IF(AND(L98&lt;&gt;"",IF(ISNUMBER(U98),AND(U98&gt;=1,U98&lt;=10,U98=INT(U98)),FALSE),IF(ISNUMBER(V98),AND(V98&gt;=1,V98&lt;=10,V98=INT(V98)),FALSE),IF(ISNUMBER(W98),AND(W98&gt;=1,W98&lt;=10,W98=INT(W98)),FALSE)),U98*V98*W98,"")</f>
        <v/>
      </c>
      <c r="Y98" s="54" t="str">
        <f>IF(X98="","",IF(OR(U98&gt;=p_gmin,X98&gt;=p_ipr_crit),"Critique",IF(X98&gt;=p_ipr_act,"Élevée",IF(X98&gt;=p_ipr_watch,"Moyenne","Faible"))))</f>
        <v/>
      </c>
      <c r="Z98" s="57" t="str">
        <f>IF(X98="","",(L98-X98)/L98)</f>
        <v/>
      </c>
      <c r="AA98" s="54" t="str">
        <f>IF(AND(D98="",O98=""),"",IF(O98="",IF(N98="Oui","Action à définir",IF(N98="Non","Sans action","")),IF(R98="Annulée","Annulée",IF(R98="Réalisée",IF(X98="","À réévaluer","Réalisée"),IF(N(Q98)=0,"Échéance manquante",IF(Q98&lt;p_today,"En retard",IF(Q98-p_today&lt;=p_alert,"Échéance proche","Dans les délais")))))))</f>
        <v/>
      </c>
      <c r="AB98" s="58" t="str">
        <f>IF(AND(A98="",B98="",D98="",F98="",H98="",K98="",O98=""),"",IF(D98="","Mode de défaillance manquant",IF(AND(A98&lt;&gt;"",COUNTIF(am_num,A98)&gt;1),"N° en double",IF(F98="","Gravité G manquante",IF(NOT(IF(ISNUMBER(F98),AND(F98&gt;=1,F98&lt;=10,F98=INT(F98)),FALSE)),"G : entier de 1 à 10",IF(H98="","Occurrence O manquante",IF(NOT(IF(ISNUMBER(H98),AND(H98&gt;=1,H98&lt;=10,H98=INT(H98)),FALSE)),"O : entier de 1 à 10",IF(K98="","Détection D manquante",IF(NOT(IF(ISNUMBER(K98),AND(K98&gt;=1,K98&lt;=10,K98=INT(K98)),FALSE)),"D : entier de 1 à 10",IF(G98="","Cause manquante",IF(AND(O98&lt;&gt;"",P98=""),"Responsable manquant",IF(AND(R98&lt;&gt;"",O98=""),"Statut sans action",IF(AND(R98="Réalisée",N(S98)=0),"Date de réalisation manquante",IF(AND(T98&lt;&gt;"",IF(ISNUMBER(T98),T98&lt;0,TRUE)),"Coût invalide",IF(AND(COUNTBLANK(U98:W98)&gt;0,COUNTBLANK(U98:W98)&lt;3),"Cotation après action incomplète",IF(AND(COUNTBLANK(U98:W98)=0,X98=""),"G', O', D' : entiers de 1 à 10",IF(AND(X98&lt;&gt;"",X98&gt;L98),"IPR après action plus élevé","OK")))))))))))))))))</f>
        <v/>
      </c>
      <c r="AC98" s="59" t="str">
        <f>IF(OR(AA98="En retard",AA98="Échéance proche",AA98="Dans les délais",AA98="Échéance manquante",AA98="Action à définir",AA98="À réévaluer"),IF(OR(plan_who="",P98=plan_who),IF(N(Q98)&gt;0,Q98,99999)*1000+ROW(),""),"")</f>
        <v/>
      </c>
      <c r="AD98" s="59" t="str">
        <f>IF(L98="","",L98*1000+1000-ROW())</f>
        <v/>
      </c>
      <c r="AE98" s="59" t="str">
        <f>IF(IF(AA98="En retard",1,IF(AA98="Action à définir",2,IF(AA98="Échéance manquante",3,IF(AA98="Échéance proche",4,IF(AA98="À réévaluer",5,0)))))=0,"",IF(AA98="En retard",1,IF(AA98="Action à définir",2,IF(AA98="Échéance manquante",3,IF(AA98="Échéance proche",4,IF(AA98="À réévaluer",5,0)))))*100000000+IF(N(Q98)&gt;0,Q98,99999)*1000+ROW())</f>
        <v/>
      </c>
      <c r="AF98" s="59" t="str">
        <f>IF(X98&lt;&gt;"",X98,L98)</f>
        <v/>
      </c>
      <c r="AG98" s="59" t="str">
        <f>IF(X98&lt;&gt;"",Y98,IF(L98&lt;&gt;"",M98,""))</f>
        <v/>
      </c>
      <c r="AH98" s="59" t="str">
        <f>IF(L98="","",IF(X98&lt;&gt;"",U98,F98))</f>
        <v/>
      </c>
      <c r="AI98" s="59" t="str">
        <f>IF(L98="","",IF(X98&lt;&gt;"",V98,H98))</f>
        <v/>
      </c>
    </row>
    <row r="99" ht="30" customHeight="1">
      <c r="A99" s="50" t="n"/>
      <c r="B99" s="51" t="n"/>
      <c r="C99" s="51" t="n"/>
      <c r="D99" s="51" t="n"/>
      <c r="E99" s="51" t="n"/>
      <c r="F99" s="52" t="n"/>
      <c r="G99" s="51" t="n"/>
      <c r="H99" s="52" t="n"/>
      <c r="I99" s="51" t="n"/>
      <c r="J99" s="51" t="n"/>
      <c r="K99" s="52" t="n"/>
      <c r="L99" s="53" t="str">
        <f>IF(AND(IF(ISNUMBER(F99),AND(F99&gt;=1,F99&lt;=10,F99=INT(F99)),FALSE),IF(ISNUMBER(H99),AND(H99&gt;=1,H99&lt;=10,H99=INT(H99)),FALSE),IF(ISNUMBER(K99),AND(K99&gt;=1,K99&lt;=10,K99=INT(K99)),FALSE)),F99*H99*K99,"")</f>
        <v/>
      </c>
      <c r="M99" s="54" t="str">
        <f>IF(L99="",IF(D99="","","À coter"),IF(OR(F99&gt;=p_gmin,L99&gt;=p_ipr_crit),"Critique",IF(L99&gt;=p_ipr_act,"Élevée",IF(L99&gt;=p_ipr_watch,"Moyenne","Faible"))))</f>
        <v/>
      </c>
      <c r="N99" s="54" t="str">
        <f>IF(OR(M99="",M99="À coter"),"",IF(OR(M99="Critique",M99="Élevée"),"Oui","Non"))</f>
        <v/>
      </c>
      <c r="O99" s="51" t="n"/>
      <c r="P99" s="51" t="n"/>
      <c r="Q99" s="55" t="n"/>
      <c r="R99" s="50" t="n"/>
      <c r="S99" s="55" t="n"/>
      <c r="T99" s="56" t="n"/>
      <c r="U99" s="52" t="n"/>
      <c r="V99" s="52" t="n"/>
      <c r="W99" s="52" t="n"/>
      <c r="X99" s="53" t="str">
        <f>IF(AND(L99&lt;&gt;"",IF(ISNUMBER(U99),AND(U99&gt;=1,U99&lt;=10,U99=INT(U99)),FALSE),IF(ISNUMBER(V99),AND(V99&gt;=1,V99&lt;=10,V99=INT(V99)),FALSE),IF(ISNUMBER(W99),AND(W99&gt;=1,W99&lt;=10,W99=INT(W99)),FALSE)),U99*V99*W99,"")</f>
        <v/>
      </c>
      <c r="Y99" s="54" t="str">
        <f>IF(X99="","",IF(OR(U99&gt;=p_gmin,X99&gt;=p_ipr_crit),"Critique",IF(X99&gt;=p_ipr_act,"Élevée",IF(X99&gt;=p_ipr_watch,"Moyenne","Faible"))))</f>
        <v/>
      </c>
      <c r="Z99" s="57" t="str">
        <f>IF(X99="","",(L99-X99)/L99)</f>
        <v/>
      </c>
      <c r="AA99" s="54" t="str">
        <f>IF(AND(D99="",O99=""),"",IF(O99="",IF(N99="Oui","Action à définir",IF(N99="Non","Sans action","")),IF(R99="Annulée","Annulée",IF(R99="Réalisée",IF(X99="","À réévaluer","Réalisée"),IF(N(Q99)=0,"Échéance manquante",IF(Q99&lt;p_today,"En retard",IF(Q99-p_today&lt;=p_alert,"Échéance proche","Dans les délais")))))))</f>
        <v/>
      </c>
      <c r="AB99" s="58" t="str">
        <f>IF(AND(A99="",B99="",D99="",F99="",H99="",K99="",O99=""),"",IF(D99="","Mode de défaillance manquant",IF(AND(A99&lt;&gt;"",COUNTIF(am_num,A99)&gt;1),"N° en double",IF(F99="","Gravité G manquante",IF(NOT(IF(ISNUMBER(F99),AND(F99&gt;=1,F99&lt;=10,F99=INT(F99)),FALSE)),"G : entier de 1 à 10",IF(H99="","Occurrence O manquante",IF(NOT(IF(ISNUMBER(H99),AND(H99&gt;=1,H99&lt;=10,H99=INT(H99)),FALSE)),"O : entier de 1 à 10",IF(K99="","Détection D manquante",IF(NOT(IF(ISNUMBER(K99),AND(K99&gt;=1,K99&lt;=10,K99=INT(K99)),FALSE)),"D : entier de 1 à 10",IF(G99="","Cause manquante",IF(AND(O99&lt;&gt;"",P99=""),"Responsable manquant",IF(AND(R99&lt;&gt;"",O99=""),"Statut sans action",IF(AND(R99="Réalisée",N(S99)=0),"Date de réalisation manquante",IF(AND(T99&lt;&gt;"",IF(ISNUMBER(T99),T99&lt;0,TRUE)),"Coût invalide",IF(AND(COUNTBLANK(U99:W99)&gt;0,COUNTBLANK(U99:W99)&lt;3),"Cotation après action incomplète",IF(AND(COUNTBLANK(U99:W99)=0,X99=""),"G', O', D' : entiers de 1 à 10",IF(AND(X99&lt;&gt;"",X99&gt;L99),"IPR après action plus élevé","OK")))))))))))))))))</f>
        <v/>
      </c>
      <c r="AC99" s="59" t="str">
        <f>IF(OR(AA99="En retard",AA99="Échéance proche",AA99="Dans les délais",AA99="Échéance manquante",AA99="Action à définir",AA99="À réévaluer"),IF(OR(plan_who="",P99=plan_who),IF(N(Q99)&gt;0,Q99,99999)*1000+ROW(),""),"")</f>
        <v/>
      </c>
      <c r="AD99" s="59" t="str">
        <f>IF(L99="","",L99*1000+1000-ROW())</f>
        <v/>
      </c>
      <c r="AE99" s="59" t="str">
        <f>IF(IF(AA99="En retard",1,IF(AA99="Action à définir",2,IF(AA99="Échéance manquante",3,IF(AA99="Échéance proche",4,IF(AA99="À réévaluer",5,0)))))=0,"",IF(AA99="En retard",1,IF(AA99="Action à définir",2,IF(AA99="Échéance manquante",3,IF(AA99="Échéance proche",4,IF(AA99="À réévaluer",5,0)))))*100000000+IF(N(Q99)&gt;0,Q99,99999)*1000+ROW())</f>
        <v/>
      </c>
      <c r="AF99" s="59" t="str">
        <f>IF(X99&lt;&gt;"",X99,L99)</f>
        <v/>
      </c>
      <c r="AG99" s="59" t="str">
        <f>IF(X99&lt;&gt;"",Y99,IF(L99&lt;&gt;"",M99,""))</f>
        <v/>
      </c>
      <c r="AH99" s="59" t="str">
        <f>IF(L99="","",IF(X99&lt;&gt;"",U99,F99))</f>
        <v/>
      </c>
      <c r="AI99" s="59" t="str">
        <f>IF(L99="","",IF(X99&lt;&gt;"",V99,H99))</f>
        <v/>
      </c>
    </row>
    <row r="100" ht="30" customHeight="1">
      <c r="A100" s="50" t="n"/>
      <c r="B100" s="51" t="n"/>
      <c r="C100" s="51" t="n"/>
      <c r="D100" s="51" t="n"/>
      <c r="E100" s="51" t="n"/>
      <c r="F100" s="52" t="n"/>
      <c r="G100" s="51" t="n"/>
      <c r="H100" s="52" t="n"/>
      <c r="I100" s="51" t="n"/>
      <c r="J100" s="51" t="n"/>
      <c r="K100" s="52" t="n"/>
      <c r="L100" s="53" t="str">
        <f>IF(AND(IF(ISNUMBER(F100),AND(F100&gt;=1,F100&lt;=10,F100=INT(F100)),FALSE),IF(ISNUMBER(H100),AND(H100&gt;=1,H100&lt;=10,H100=INT(H100)),FALSE),IF(ISNUMBER(K100),AND(K100&gt;=1,K100&lt;=10,K100=INT(K100)),FALSE)),F100*H100*K100,"")</f>
        <v/>
      </c>
      <c r="M100" s="54" t="str">
        <f>IF(L100="",IF(D100="","","À coter"),IF(OR(F100&gt;=p_gmin,L100&gt;=p_ipr_crit),"Critique",IF(L100&gt;=p_ipr_act,"Élevée",IF(L100&gt;=p_ipr_watch,"Moyenne","Faible"))))</f>
        <v/>
      </c>
      <c r="N100" s="54" t="str">
        <f>IF(OR(M100="",M100="À coter"),"",IF(OR(M100="Critique",M100="Élevée"),"Oui","Non"))</f>
        <v/>
      </c>
      <c r="O100" s="51" t="n"/>
      <c r="P100" s="51" t="n"/>
      <c r="Q100" s="55" t="n"/>
      <c r="R100" s="50" t="n"/>
      <c r="S100" s="55" t="n"/>
      <c r="T100" s="56" t="n"/>
      <c r="U100" s="52" t="n"/>
      <c r="V100" s="52" t="n"/>
      <c r="W100" s="52" t="n"/>
      <c r="X100" s="53" t="str">
        <f>IF(AND(L100&lt;&gt;"",IF(ISNUMBER(U100),AND(U100&gt;=1,U100&lt;=10,U100=INT(U100)),FALSE),IF(ISNUMBER(V100),AND(V100&gt;=1,V100&lt;=10,V100=INT(V100)),FALSE),IF(ISNUMBER(W100),AND(W100&gt;=1,W100&lt;=10,W100=INT(W100)),FALSE)),U100*V100*W100,"")</f>
        <v/>
      </c>
      <c r="Y100" s="54" t="str">
        <f>IF(X100="","",IF(OR(U100&gt;=p_gmin,X100&gt;=p_ipr_crit),"Critique",IF(X100&gt;=p_ipr_act,"Élevée",IF(X100&gt;=p_ipr_watch,"Moyenne","Faible"))))</f>
        <v/>
      </c>
      <c r="Z100" s="57" t="str">
        <f>IF(X100="","",(L100-X100)/L100)</f>
        <v/>
      </c>
      <c r="AA100" s="54" t="str">
        <f>IF(AND(D100="",O100=""),"",IF(O100="",IF(N100="Oui","Action à définir",IF(N100="Non","Sans action","")),IF(R100="Annulée","Annulée",IF(R100="Réalisée",IF(X100="","À réévaluer","Réalisée"),IF(N(Q100)=0,"Échéance manquante",IF(Q100&lt;p_today,"En retard",IF(Q100-p_today&lt;=p_alert,"Échéance proche","Dans les délais")))))))</f>
        <v/>
      </c>
      <c r="AB100" s="58" t="str">
        <f>IF(AND(A100="",B100="",D100="",F100="",H100="",K100="",O100=""),"",IF(D100="","Mode de défaillance manquant",IF(AND(A100&lt;&gt;"",COUNTIF(am_num,A100)&gt;1),"N° en double",IF(F100="","Gravité G manquante",IF(NOT(IF(ISNUMBER(F100),AND(F100&gt;=1,F100&lt;=10,F100=INT(F100)),FALSE)),"G : entier de 1 à 10",IF(H100="","Occurrence O manquante",IF(NOT(IF(ISNUMBER(H100),AND(H100&gt;=1,H100&lt;=10,H100=INT(H100)),FALSE)),"O : entier de 1 à 10",IF(K100="","Détection D manquante",IF(NOT(IF(ISNUMBER(K100),AND(K100&gt;=1,K100&lt;=10,K100=INT(K100)),FALSE)),"D : entier de 1 à 10",IF(G100="","Cause manquante",IF(AND(O100&lt;&gt;"",P100=""),"Responsable manquant",IF(AND(R100&lt;&gt;"",O100=""),"Statut sans action",IF(AND(R100="Réalisée",N(S100)=0),"Date de réalisation manquante",IF(AND(T100&lt;&gt;"",IF(ISNUMBER(T100),T100&lt;0,TRUE)),"Coût invalide",IF(AND(COUNTBLANK(U100:W100)&gt;0,COUNTBLANK(U100:W100)&lt;3),"Cotation après action incomplète",IF(AND(COUNTBLANK(U100:W100)=0,X100=""),"G', O', D' : entiers de 1 à 10",IF(AND(X100&lt;&gt;"",X100&gt;L100),"IPR après action plus élevé","OK")))))))))))))))))</f>
        <v/>
      </c>
      <c r="AC100" s="59" t="str">
        <f>IF(OR(AA100="En retard",AA100="Échéance proche",AA100="Dans les délais",AA100="Échéance manquante",AA100="Action à définir",AA100="À réévaluer"),IF(OR(plan_who="",P100=plan_who),IF(N(Q100)&gt;0,Q100,99999)*1000+ROW(),""),"")</f>
        <v/>
      </c>
      <c r="AD100" s="59" t="str">
        <f>IF(L100="","",L100*1000+1000-ROW())</f>
        <v/>
      </c>
      <c r="AE100" s="59" t="str">
        <f>IF(IF(AA100="En retard",1,IF(AA100="Action à définir",2,IF(AA100="Échéance manquante",3,IF(AA100="Échéance proche",4,IF(AA100="À réévaluer",5,0)))))=0,"",IF(AA100="En retard",1,IF(AA100="Action à définir",2,IF(AA100="Échéance manquante",3,IF(AA100="Échéance proche",4,IF(AA100="À réévaluer",5,0)))))*100000000+IF(N(Q100)&gt;0,Q100,99999)*1000+ROW())</f>
        <v/>
      </c>
      <c r="AF100" s="59" t="str">
        <f>IF(X100&lt;&gt;"",X100,L100)</f>
        <v/>
      </c>
      <c r="AG100" s="59" t="str">
        <f>IF(X100&lt;&gt;"",Y100,IF(L100&lt;&gt;"",M100,""))</f>
        <v/>
      </c>
      <c r="AH100" s="59" t="str">
        <f>IF(L100="","",IF(X100&lt;&gt;"",U100,F100))</f>
        <v/>
      </c>
      <c r="AI100" s="59" t="str">
        <f>IF(L100="","",IF(X100&lt;&gt;"",V100,H100))</f>
        <v/>
      </c>
    </row>
    <row r="101" ht="30" customHeight="1">
      <c r="A101" s="50" t="n"/>
      <c r="B101" s="51" t="n"/>
      <c r="C101" s="51" t="n"/>
      <c r="D101" s="51" t="n"/>
      <c r="E101" s="51" t="n"/>
      <c r="F101" s="52" t="n"/>
      <c r="G101" s="51" t="n"/>
      <c r="H101" s="52" t="n"/>
      <c r="I101" s="51" t="n"/>
      <c r="J101" s="51" t="n"/>
      <c r="K101" s="52" t="n"/>
      <c r="L101" s="53" t="str">
        <f>IF(AND(IF(ISNUMBER(F101),AND(F101&gt;=1,F101&lt;=10,F101=INT(F101)),FALSE),IF(ISNUMBER(H101),AND(H101&gt;=1,H101&lt;=10,H101=INT(H101)),FALSE),IF(ISNUMBER(K101),AND(K101&gt;=1,K101&lt;=10,K101=INT(K101)),FALSE)),F101*H101*K101,"")</f>
        <v/>
      </c>
      <c r="M101" s="54" t="str">
        <f>IF(L101="",IF(D101="","","À coter"),IF(OR(F101&gt;=p_gmin,L101&gt;=p_ipr_crit),"Critique",IF(L101&gt;=p_ipr_act,"Élevée",IF(L101&gt;=p_ipr_watch,"Moyenne","Faible"))))</f>
        <v/>
      </c>
      <c r="N101" s="54" t="str">
        <f>IF(OR(M101="",M101="À coter"),"",IF(OR(M101="Critique",M101="Élevée"),"Oui","Non"))</f>
        <v/>
      </c>
      <c r="O101" s="51" t="n"/>
      <c r="P101" s="51" t="n"/>
      <c r="Q101" s="55" t="n"/>
      <c r="R101" s="50" t="n"/>
      <c r="S101" s="55" t="n"/>
      <c r="T101" s="56" t="n"/>
      <c r="U101" s="52" t="n"/>
      <c r="V101" s="52" t="n"/>
      <c r="W101" s="52" t="n"/>
      <c r="X101" s="53" t="str">
        <f>IF(AND(L101&lt;&gt;"",IF(ISNUMBER(U101),AND(U101&gt;=1,U101&lt;=10,U101=INT(U101)),FALSE),IF(ISNUMBER(V101),AND(V101&gt;=1,V101&lt;=10,V101=INT(V101)),FALSE),IF(ISNUMBER(W101),AND(W101&gt;=1,W101&lt;=10,W101=INT(W101)),FALSE)),U101*V101*W101,"")</f>
        <v/>
      </c>
      <c r="Y101" s="54" t="str">
        <f>IF(X101="","",IF(OR(U101&gt;=p_gmin,X101&gt;=p_ipr_crit),"Critique",IF(X101&gt;=p_ipr_act,"Élevée",IF(X101&gt;=p_ipr_watch,"Moyenne","Faible"))))</f>
        <v/>
      </c>
      <c r="Z101" s="57" t="str">
        <f>IF(X101="","",(L101-X101)/L101)</f>
        <v/>
      </c>
      <c r="AA101" s="54" t="str">
        <f>IF(AND(D101="",O101=""),"",IF(O101="",IF(N101="Oui","Action à définir",IF(N101="Non","Sans action","")),IF(R101="Annulée","Annulée",IF(R101="Réalisée",IF(X101="","À réévaluer","Réalisée"),IF(N(Q101)=0,"Échéance manquante",IF(Q101&lt;p_today,"En retard",IF(Q101-p_today&lt;=p_alert,"Échéance proche","Dans les délais")))))))</f>
        <v/>
      </c>
      <c r="AB101" s="58" t="str">
        <f>IF(AND(A101="",B101="",D101="",F101="",H101="",K101="",O101=""),"",IF(D101="","Mode de défaillance manquant",IF(AND(A101&lt;&gt;"",COUNTIF(am_num,A101)&gt;1),"N° en double",IF(F101="","Gravité G manquante",IF(NOT(IF(ISNUMBER(F101),AND(F101&gt;=1,F101&lt;=10,F101=INT(F101)),FALSE)),"G : entier de 1 à 10",IF(H101="","Occurrence O manquante",IF(NOT(IF(ISNUMBER(H101),AND(H101&gt;=1,H101&lt;=10,H101=INT(H101)),FALSE)),"O : entier de 1 à 10",IF(K101="","Détection D manquante",IF(NOT(IF(ISNUMBER(K101),AND(K101&gt;=1,K101&lt;=10,K101=INT(K101)),FALSE)),"D : entier de 1 à 10",IF(G101="","Cause manquante",IF(AND(O101&lt;&gt;"",P101=""),"Responsable manquant",IF(AND(R101&lt;&gt;"",O101=""),"Statut sans action",IF(AND(R101="Réalisée",N(S101)=0),"Date de réalisation manquante",IF(AND(T101&lt;&gt;"",IF(ISNUMBER(T101),T101&lt;0,TRUE)),"Coût invalide",IF(AND(COUNTBLANK(U101:W101)&gt;0,COUNTBLANK(U101:W101)&lt;3),"Cotation après action incomplète",IF(AND(COUNTBLANK(U101:W101)=0,X101=""),"G', O', D' : entiers de 1 à 10",IF(AND(X101&lt;&gt;"",X101&gt;L101),"IPR après action plus élevé","OK")))))))))))))))))</f>
        <v/>
      </c>
      <c r="AC101" s="59" t="str">
        <f>IF(OR(AA101="En retard",AA101="Échéance proche",AA101="Dans les délais",AA101="Échéance manquante",AA101="Action à définir",AA101="À réévaluer"),IF(OR(plan_who="",P101=plan_who),IF(N(Q101)&gt;0,Q101,99999)*1000+ROW(),""),"")</f>
        <v/>
      </c>
      <c r="AD101" s="59" t="str">
        <f>IF(L101="","",L101*1000+1000-ROW())</f>
        <v/>
      </c>
      <c r="AE101" s="59" t="str">
        <f>IF(IF(AA101="En retard",1,IF(AA101="Action à définir",2,IF(AA101="Échéance manquante",3,IF(AA101="Échéance proche",4,IF(AA101="À réévaluer",5,0)))))=0,"",IF(AA101="En retard",1,IF(AA101="Action à définir",2,IF(AA101="Échéance manquante",3,IF(AA101="Échéance proche",4,IF(AA101="À réévaluer",5,0)))))*100000000+IF(N(Q101)&gt;0,Q101,99999)*1000+ROW())</f>
        <v/>
      </c>
      <c r="AF101" s="59" t="str">
        <f>IF(X101&lt;&gt;"",X101,L101)</f>
        <v/>
      </c>
      <c r="AG101" s="59" t="str">
        <f>IF(X101&lt;&gt;"",Y101,IF(L101&lt;&gt;"",M101,""))</f>
        <v/>
      </c>
      <c r="AH101" s="59" t="str">
        <f>IF(L101="","",IF(X101&lt;&gt;"",U101,F101))</f>
        <v/>
      </c>
      <c r="AI101" s="59" t="str">
        <f>IF(L101="","",IF(X101&lt;&gt;"",V101,H101))</f>
        <v/>
      </c>
    </row>
    <row r="102" ht="30" customHeight="1">
      <c r="A102" s="50" t="n"/>
      <c r="B102" s="51" t="n"/>
      <c r="C102" s="51" t="n"/>
      <c r="D102" s="51" t="n"/>
      <c r="E102" s="51" t="n"/>
      <c r="F102" s="52" t="n"/>
      <c r="G102" s="51" t="n"/>
      <c r="H102" s="52" t="n"/>
      <c r="I102" s="51" t="n"/>
      <c r="J102" s="51" t="n"/>
      <c r="K102" s="52" t="n"/>
      <c r="L102" s="53" t="str">
        <f>IF(AND(IF(ISNUMBER(F102),AND(F102&gt;=1,F102&lt;=10,F102=INT(F102)),FALSE),IF(ISNUMBER(H102),AND(H102&gt;=1,H102&lt;=10,H102=INT(H102)),FALSE),IF(ISNUMBER(K102),AND(K102&gt;=1,K102&lt;=10,K102=INT(K102)),FALSE)),F102*H102*K102,"")</f>
        <v/>
      </c>
      <c r="M102" s="54" t="str">
        <f>IF(L102="",IF(D102="","","À coter"),IF(OR(F102&gt;=p_gmin,L102&gt;=p_ipr_crit),"Critique",IF(L102&gt;=p_ipr_act,"Élevée",IF(L102&gt;=p_ipr_watch,"Moyenne","Faible"))))</f>
        <v/>
      </c>
      <c r="N102" s="54" t="str">
        <f>IF(OR(M102="",M102="À coter"),"",IF(OR(M102="Critique",M102="Élevée"),"Oui","Non"))</f>
        <v/>
      </c>
      <c r="O102" s="51" t="n"/>
      <c r="P102" s="51" t="n"/>
      <c r="Q102" s="55" t="n"/>
      <c r="R102" s="50" t="n"/>
      <c r="S102" s="55" t="n"/>
      <c r="T102" s="56" t="n"/>
      <c r="U102" s="52" t="n"/>
      <c r="V102" s="52" t="n"/>
      <c r="W102" s="52" t="n"/>
      <c r="X102" s="53" t="str">
        <f>IF(AND(L102&lt;&gt;"",IF(ISNUMBER(U102),AND(U102&gt;=1,U102&lt;=10,U102=INT(U102)),FALSE),IF(ISNUMBER(V102),AND(V102&gt;=1,V102&lt;=10,V102=INT(V102)),FALSE),IF(ISNUMBER(W102),AND(W102&gt;=1,W102&lt;=10,W102=INT(W102)),FALSE)),U102*V102*W102,"")</f>
        <v/>
      </c>
      <c r="Y102" s="54" t="str">
        <f>IF(X102="","",IF(OR(U102&gt;=p_gmin,X102&gt;=p_ipr_crit),"Critique",IF(X102&gt;=p_ipr_act,"Élevée",IF(X102&gt;=p_ipr_watch,"Moyenne","Faible"))))</f>
        <v/>
      </c>
      <c r="Z102" s="57" t="str">
        <f>IF(X102="","",(L102-X102)/L102)</f>
        <v/>
      </c>
      <c r="AA102" s="54" t="str">
        <f>IF(AND(D102="",O102=""),"",IF(O102="",IF(N102="Oui","Action à définir",IF(N102="Non","Sans action","")),IF(R102="Annulée","Annulée",IF(R102="Réalisée",IF(X102="","À réévaluer","Réalisée"),IF(N(Q102)=0,"Échéance manquante",IF(Q102&lt;p_today,"En retard",IF(Q102-p_today&lt;=p_alert,"Échéance proche","Dans les délais")))))))</f>
        <v/>
      </c>
      <c r="AB102" s="58" t="str">
        <f>IF(AND(A102="",B102="",D102="",F102="",H102="",K102="",O102=""),"",IF(D102="","Mode de défaillance manquant",IF(AND(A102&lt;&gt;"",COUNTIF(am_num,A102)&gt;1),"N° en double",IF(F102="","Gravité G manquante",IF(NOT(IF(ISNUMBER(F102),AND(F102&gt;=1,F102&lt;=10,F102=INT(F102)),FALSE)),"G : entier de 1 à 10",IF(H102="","Occurrence O manquante",IF(NOT(IF(ISNUMBER(H102),AND(H102&gt;=1,H102&lt;=10,H102=INT(H102)),FALSE)),"O : entier de 1 à 10",IF(K102="","Détection D manquante",IF(NOT(IF(ISNUMBER(K102),AND(K102&gt;=1,K102&lt;=10,K102=INT(K102)),FALSE)),"D : entier de 1 à 10",IF(G102="","Cause manquante",IF(AND(O102&lt;&gt;"",P102=""),"Responsable manquant",IF(AND(R102&lt;&gt;"",O102=""),"Statut sans action",IF(AND(R102="Réalisée",N(S102)=0),"Date de réalisation manquante",IF(AND(T102&lt;&gt;"",IF(ISNUMBER(T102),T102&lt;0,TRUE)),"Coût invalide",IF(AND(COUNTBLANK(U102:W102)&gt;0,COUNTBLANK(U102:W102)&lt;3),"Cotation après action incomplète",IF(AND(COUNTBLANK(U102:W102)=0,X102=""),"G', O', D' : entiers de 1 à 10",IF(AND(X102&lt;&gt;"",X102&gt;L102),"IPR après action plus élevé","OK")))))))))))))))))</f>
        <v/>
      </c>
      <c r="AC102" s="59" t="str">
        <f>IF(OR(AA102="En retard",AA102="Échéance proche",AA102="Dans les délais",AA102="Échéance manquante",AA102="Action à définir",AA102="À réévaluer"),IF(OR(plan_who="",P102=plan_who),IF(N(Q102)&gt;0,Q102,99999)*1000+ROW(),""),"")</f>
        <v/>
      </c>
      <c r="AD102" s="59" t="str">
        <f>IF(L102="","",L102*1000+1000-ROW())</f>
        <v/>
      </c>
      <c r="AE102" s="59" t="str">
        <f>IF(IF(AA102="En retard",1,IF(AA102="Action à définir",2,IF(AA102="Échéance manquante",3,IF(AA102="Échéance proche",4,IF(AA102="À réévaluer",5,0)))))=0,"",IF(AA102="En retard",1,IF(AA102="Action à définir",2,IF(AA102="Échéance manquante",3,IF(AA102="Échéance proche",4,IF(AA102="À réévaluer",5,0)))))*100000000+IF(N(Q102)&gt;0,Q102,99999)*1000+ROW())</f>
        <v/>
      </c>
      <c r="AF102" s="59" t="str">
        <f>IF(X102&lt;&gt;"",X102,L102)</f>
        <v/>
      </c>
      <c r="AG102" s="59" t="str">
        <f>IF(X102&lt;&gt;"",Y102,IF(L102&lt;&gt;"",M102,""))</f>
        <v/>
      </c>
      <c r="AH102" s="59" t="str">
        <f>IF(L102="","",IF(X102&lt;&gt;"",U102,F102))</f>
        <v/>
      </c>
      <c r="AI102" s="59" t="str">
        <f>IF(L102="","",IF(X102&lt;&gt;"",V102,H102))</f>
        <v/>
      </c>
    </row>
    <row r="103" ht="30" customHeight="1">
      <c r="A103" s="50" t="n"/>
      <c r="B103" s="51" t="n"/>
      <c r="C103" s="51" t="n"/>
      <c r="D103" s="51" t="n"/>
      <c r="E103" s="51" t="n"/>
      <c r="F103" s="52" t="n"/>
      <c r="G103" s="51" t="n"/>
      <c r="H103" s="52" t="n"/>
      <c r="I103" s="51" t="n"/>
      <c r="J103" s="51" t="n"/>
      <c r="K103" s="52" t="n"/>
      <c r="L103" s="53" t="str">
        <f>IF(AND(IF(ISNUMBER(F103),AND(F103&gt;=1,F103&lt;=10,F103=INT(F103)),FALSE),IF(ISNUMBER(H103),AND(H103&gt;=1,H103&lt;=10,H103=INT(H103)),FALSE),IF(ISNUMBER(K103),AND(K103&gt;=1,K103&lt;=10,K103=INT(K103)),FALSE)),F103*H103*K103,"")</f>
        <v/>
      </c>
      <c r="M103" s="54" t="str">
        <f>IF(L103="",IF(D103="","","À coter"),IF(OR(F103&gt;=p_gmin,L103&gt;=p_ipr_crit),"Critique",IF(L103&gt;=p_ipr_act,"Élevée",IF(L103&gt;=p_ipr_watch,"Moyenne","Faible"))))</f>
        <v/>
      </c>
      <c r="N103" s="54" t="str">
        <f>IF(OR(M103="",M103="À coter"),"",IF(OR(M103="Critique",M103="Élevée"),"Oui","Non"))</f>
        <v/>
      </c>
      <c r="O103" s="51" t="n"/>
      <c r="P103" s="51" t="n"/>
      <c r="Q103" s="55" t="n"/>
      <c r="R103" s="50" t="n"/>
      <c r="S103" s="55" t="n"/>
      <c r="T103" s="56" t="n"/>
      <c r="U103" s="52" t="n"/>
      <c r="V103" s="52" t="n"/>
      <c r="W103" s="52" t="n"/>
      <c r="X103" s="53" t="str">
        <f>IF(AND(L103&lt;&gt;"",IF(ISNUMBER(U103),AND(U103&gt;=1,U103&lt;=10,U103=INT(U103)),FALSE),IF(ISNUMBER(V103),AND(V103&gt;=1,V103&lt;=10,V103=INT(V103)),FALSE),IF(ISNUMBER(W103),AND(W103&gt;=1,W103&lt;=10,W103=INT(W103)),FALSE)),U103*V103*W103,"")</f>
        <v/>
      </c>
      <c r="Y103" s="54" t="str">
        <f>IF(X103="","",IF(OR(U103&gt;=p_gmin,X103&gt;=p_ipr_crit),"Critique",IF(X103&gt;=p_ipr_act,"Élevée",IF(X103&gt;=p_ipr_watch,"Moyenne","Faible"))))</f>
        <v/>
      </c>
      <c r="Z103" s="57" t="str">
        <f>IF(X103="","",(L103-X103)/L103)</f>
        <v/>
      </c>
      <c r="AA103" s="54" t="str">
        <f>IF(AND(D103="",O103=""),"",IF(O103="",IF(N103="Oui","Action à définir",IF(N103="Non","Sans action","")),IF(R103="Annulée","Annulée",IF(R103="Réalisée",IF(X103="","À réévaluer","Réalisée"),IF(N(Q103)=0,"Échéance manquante",IF(Q103&lt;p_today,"En retard",IF(Q103-p_today&lt;=p_alert,"Échéance proche","Dans les délais")))))))</f>
        <v/>
      </c>
      <c r="AB103" s="58" t="str">
        <f>IF(AND(A103="",B103="",D103="",F103="",H103="",K103="",O103=""),"",IF(D103="","Mode de défaillance manquant",IF(AND(A103&lt;&gt;"",COUNTIF(am_num,A103)&gt;1),"N° en double",IF(F103="","Gravité G manquante",IF(NOT(IF(ISNUMBER(F103),AND(F103&gt;=1,F103&lt;=10,F103=INT(F103)),FALSE)),"G : entier de 1 à 10",IF(H103="","Occurrence O manquante",IF(NOT(IF(ISNUMBER(H103),AND(H103&gt;=1,H103&lt;=10,H103=INT(H103)),FALSE)),"O : entier de 1 à 10",IF(K103="","Détection D manquante",IF(NOT(IF(ISNUMBER(K103),AND(K103&gt;=1,K103&lt;=10,K103=INT(K103)),FALSE)),"D : entier de 1 à 10",IF(G103="","Cause manquante",IF(AND(O103&lt;&gt;"",P103=""),"Responsable manquant",IF(AND(R103&lt;&gt;"",O103=""),"Statut sans action",IF(AND(R103="Réalisée",N(S103)=0),"Date de réalisation manquante",IF(AND(T103&lt;&gt;"",IF(ISNUMBER(T103),T103&lt;0,TRUE)),"Coût invalide",IF(AND(COUNTBLANK(U103:W103)&gt;0,COUNTBLANK(U103:W103)&lt;3),"Cotation après action incomplète",IF(AND(COUNTBLANK(U103:W103)=0,X103=""),"G', O', D' : entiers de 1 à 10",IF(AND(X103&lt;&gt;"",X103&gt;L103),"IPR après action plus élevé","OK")))))))))))))))))</f>
        <v/>
      </c>
      <c r="AC103" s="59" t="str">
        <f>IF(OR(AA103="En retard",AA103="Échéance proche",AA103="Dans les délais",AA103="Échéance manquante",AA103="Action à définir",AA103="À réévaluer"),IF(OR(plan_who="",P103=plan_who),IF(N(Q103)&gt;0,Q103,99999)*1000+ROW(),""),"")</f>
        <v/>
      </c>
      <c r="AD103" s="59" t="str">
        <f>IF(L103="","",L103*1000+1000-ROW())</f>
        <v/>
      </c>
      <c r="AE103" s="59" t="str">
        <f>IF(IF(AA103="En retard",1,IF(AA103="Action à définir",2,IF(AA103="Échéance manquante",3,IF(AA103="Échéance proche",4,IF(AA103="À réévaluer",5,0)))))=0,"",IF(AA103="En retard",1,IF(AA103="Action à définir",2,IF(AA103="Échéance manquante",3,IF(AA103="Échéance proche",4,IF(AA103="À réévaluer",5,0)))))*100000000+IF(N(Q103)&gt;0,Q103,99999)*1000+ROW())</f>
        <v/>
      </c>
      <c r="AF103" s="59" t="str">
        <f>IF(X103&lt;&gt;"",X103,L103)</f>
        <v/>
      </c>
      <c r="AG103" s="59" t="str">
        <f>IF(X103&lt;&gt;"",Y103,IF(L103&lt;&gt;"",M103,""))</f>
        <v/>
      </c>
      <c r="AH103" s="59" t="str">
        <f>IF(L103="","",IF(X103&lt;&gt;"",U103,F103))</f>
        <v/>
      </c>
      <c r="AI103" s="59" t="str">
        <f>IF(L103="","",IF(X103&lt;&gt;"",V103,H103))</f>
        <v/>
      </c>
    </row>
    <row r="104" ht="30" customHeight="1">
      <c r="A104" s="50" t="n"/>
      <c r="B104" s="51" t="n"/>
      <c r="C104" s="51" t="n"/>
      <c r="D104" s="51" t="n"/>
      <c r="E104" s="51" t="n"/>
      <c r="F104" s="52" t="n"/>
      <c r="G104" s="51" t="n"/>
      <c r="H104" s="52" t="n"/>
      <c r="I104" s="51" t="n"/>
      <c r="J104" s="51" t="n"/>
      <c r="K104" s="52" t="n"/>
      <c r="L104" s="53" t="str">
        <f>IF(AND(IF(ISNUMBER(F104),AND(F104&gt;=1,F104&lt;=10,F104=INT(F104)),FALSE),IF(ISNUMBER(H104),AND(H104&gt;=1,H104&lt;=10,H104=INT(H104)),FALSE),IF(ISNUMBER(K104),AND(K104&gt;=1,K104&lt;=10,K104=INT(K104)),FALSE)),F104*H104*K104,"")</f>
        <v/>
      </c>
      <c r="M104" s="54" t="str">
        <f>IF(L104="",IF(D104="","","À coter"),IF(OR(F104&gt;=p_gmin,L104&gt;=p_ipr_crit),"Critique",IF(L104&gt;=p_ipr_act,"Élevée",IF(L104&gt;=p_ipr_watch,"Moyenne","Faible"))))</f>
        <v/>
      </c>
      <c r="N104" s="54" t="str">
        <f>IF(OR(M104="",M104="À coter"),"",IF(OR(M104="Critique",M104="Élevée"),"Oui","Non"))</f>
        <v/>
      </c>
      <c r="O104" s="51" t="n"/>
      <c r="P104" s="51" t="n"/>
      <c r="Q104" s="55" t="n"/>
      <c r="R104" s="50" t="n"/>
      <c r="S104" s="55" t="n"/>
      <c r="T104" s="56" t="n"/>
      <c r="U104" s="52" t="n"/>
      <c r="V104" s="52" t="n"/>
      <c r="W104" s="52" t="n"/>
      <c r="X104" s="53" t="str">
        <f>IF(AND(L104&lt;&gt;"",IF(ISNUMBER(U104),AND(U104&gt;=1,U104&lt;=10,U104=INT(U104)),FALSE),IF(ISNUMBER(V104),AND(V104&gt;=1,V104&lt;=10,V104=INT(V104)),FALSE),IF(ISNUMBER(W104),AND(W104&gt;=1,W104&lt;=10,W104=INT(W104)),FALSE)),U104*V104*W104,"")</f>
        <v/>
      </c>
      <c r="Y104" s="54" t="str">
        <f>IF(X104="","",IF(OR(U104&gt;=p_gmin,X104&gt;=p_ipr_crit),"Critique",IF(X104&gt;=p_ipr_act,"Élevée",IF(X104&gt;=p_ipr_watch,"Moyenne","Faible"))))</f>
        <v/>
      </c>
      <c r="Z104" s="57" t="str">
        <f>IF(X104="","",(L104-X104)/L104)</f>
        <v/>
      </c>
      <c r="AA104" s="54" t="str">
        <f>IF(AND(D104="",O104=""),"",IF(O104="",IF(N104="Oui","Action à définir",IF(N104="Non","Sans action","")),IF(R104="Annulée","Annulée",IF(R104="Réalisée",IF(X104="","À réévaluer","Réalisée"),IF(N(Q104)=0,"Échéance manquante",IF(Q104&lt;p_today,"En retard",IF(Q104-p_today&lt;=p_alert,"Échéance proche","Dans les délais")))))))</f>
        <v/>
      </c>
      <c r="AB104" s="58" t="str">
        <f>IF(AND(A104="",B104="",D104="",F104="",H104="",K104="",O104=""),"",IF(D104="","Mode de défaillance manquant",IF(AND(A104&lt;&gt;"",COUNTIF(am_num,A104)&gt;1),"N° en double",IF(F104="","Gravité G manquante",IF(NOT(IF(ISNUMBER(F104),AND(F104&gt;=1,F104&lt;=10,F104=INT(F104)),FALSE)),"G : entier de 1 à 10",IF(H104="","Occurrence O manquante",IF(NOT(IF(ISNUMBER(H104),AND(H104&gt;=1,H104&lt;=10,H104=INT(H104)),FALSE)),"O : entier de 1 à 10",IF(K104="","Détection D manquante",IF(NOT(IF(ISNUMBER(K104),AND(K104&gt;=1,K104&lt;=10,K104=INT(K104)),FALSE)),"D : entier de 1 à 10",IF(G104="","Cause manquante",IF(AND(O104&lt;&gt;"",P104=""),"Responsable manquant",IF(AND(R104&lt;&gt;"",O104=""),"Statut sans action",IF(AND(R104="Réalisée",N(S104)=0),"Date de réalisation manquante",IF(AND(T104&lt;&gt;"",IF(ISNUMBER(T104),T104&lt;0,TRUE)),"Coût invalide",IF(AND(COUNTBLANK(U104:W104)&gt;0,COUNTBLANK(U104:W104)&lt;3),"Cotation après action incomplète",IF(AND(COUNTBLANK(U104:W104)=0,X104=""),"G', O', D' : entiers de 1 à 10",IF(AND(X104&lt;&gt;"",X104&gt;L104),"IPR après action plus élevé","OK")))))))))))))))))</f>
        <v/>
      </c>
      <c r="AC104" s="59" t="str">
        <f>IF(OR(AA104="En retard",AA104="Échéance proche",AA104="Dans les délais",AA104="Échéance manquante",AA104="Action à définir",AA104="À réévaluer"),IF(OR(plan_who="",P104=plan_who),IF(N(Q104)&gt;0,Q104,99999)*1000+ROW(),""),"")</f>
        <v/>
      </c>
      <c r="AD104" s="59" t="str">
        <f>IF(L104="","",L104*1000+1000-ROW())</f>
        <v/>
      </c>
      <c r="AE104" s="59" t="str">
        <f>IF(IF(AA104="En retard",1,IF(AA104="Action à définir",2,IF(AA104="Échéance manquante",3,IF(AA104="Échéance proche",4,IF(AA104="À réévaluer",5,0)))))=0,"",IF(AA104="En retard",1,IF(AA104="Action à définir",2,IF(AA104="Échéance manquante",3,IF(AA104="Échéance proche",4,IF(AA104="À réévaluer",5,0)))))*100000000+IF(N(Q104)&gt;0,Q104,99999)*1000+ROW())</f>
        <v/>
      </c>
      <c r="AF104" s="59" t="str">
        <f>IF(X104&lt;&gt;"",X104,L104)</f>
        <v/>
      </c>
      <c r="AG104" s="59" t="str">
        <f>IF(X104&lt;&gt;"",Y104,IF(L104&lt;&gt;"",M104,""))</f>
        <v/>
      </c>
      <c r="AH104" s="59" t="str">
        <f>IF(L104="","",IF(X104&lt;&gt;"",U104,F104))</f>
        <v/>
      </c>
      <c r="AI104" s="59" t="str">
        <f>IF(L104="","",IF(X104&lt;&gt;"",V104,H104))</f>
        <v/>
      </c>
    </row>
    <row r="105" ht="30" customHeight="1">
      <c r="A105" s="50" t="n"/>
      <c r="B105" s="51" t="n"/>
      <c r="C105" s="51" t="n"/>
      <c r="D105" s="51" t="n"/>
      <c r="E105" s="51" t="n"/>
      <c r="F105" s="52" t="n"/>
      <c r="G105" s="51" t="n"/>
      <c r="H105" s="52" t="n"/>
      <c r="I105" s="51" t="n"/>
      <c r="J105" s="51" t="n"/>
      <c r="K105" s="52" t="n"/>
      <c r="L105" s="53" t="str">
        <f>IF(AND(IF(ISNUMBER(F105),AND(F105&gt;=1,F105&lt;=10,F105=INT(F105)),FALSE),IF(ISNUMBER(H105),AND(H105&gt;=1,H105&lt;=10,H105=INT(H105)),FALSE),IF(ISNUMBER(K105),AND(K105&gt;=1,K105&lt;=10,K105=INT(K105)),FALSE)),F105*H105*K105,"")</f>
        <v/>
      </c>
      <c r="M105" s="54" t="str">
        <f>IF(L105="",IF(D105="","","À coter"),IF(OR(F105&gt;=p_gmin,L105&gt;=p_ipr_crit),"Critique",IF(L105&gt;=p_ipr_act,"Élevée",IF(L105&gt;=p_ipr_watch,"Moyenne","Faible"))))</f>
        <v/>
      </c>
      <c r="N105" s="54" t="str">
        <f>IF(OR(M105="",M105="À coter"),"",IF(OR(M105="Critique",M105="Élevée"),"Oui","Non"))</f>
        <v/>
      </c>
      <c r="O105" s="51" t="n"/>
      <c r="P105" s="51" t="n"/>
      <c r="Q105" s="55" t="n"/>
      <c r="R105" s="50" t="n"/>
      <c r="S105" s="55" t="n"/>
      <c r="T105" s="56" t="n"/>
      <c r="U105" s="52" t="n"/>
      <c r="V105" s="52" t="n"/>
      <c r="W105" s="52" t="n"/>
      <c r="X105" s="53" t="str">
        <f>IF(AND(L105&lt;&gt;"",IF(ISNUMBER(U105),AND(U105&gt;=1,U105&lt;=10,U105=INT(U105)),FALSE),IF(ISNUMBER(V105),AND(V105&gt;=1,V105&lt;=10,V105=INT(V105)),FALSE),IF(ISNUMBER(W105),AND(W105&gt;=1,W105&lt;=10,W105=INT(W105)),FALSE)),U105*V105*W105,"")</f>
        <v/>
      </c>
      <c r="Y105" s="54" t="str">
        <f>IF(X105="","",IF(OR(U105&gt;=p_gmin,X105&gt;=p_ipr_crit),"Critique",IF(X105&gt;=p_ipr_act,"Élevée",IF(X105&gt;=p_ipr_watch,"Moyenne","Faible"))))</f>
        <v/>
      </c>
      <c r="Z105" s="57" t="str">
        <f>IF(X105="","",(L105-X105)/L105)</f>
        <v/>
      </c>
      <c r="AA105" s="54" t="str">
        <f>IF(AND(D105="",O105=""),"",IF(O105="",IF(N105="Oui","Action à définir",IF(N105="Non","Sans action","")),IF(R105="Annulée","Annulée",IF(R105="Réalisée",IF(X105="","À réévaluer","Réalisée"),IF(N(Q105)=0,"Échéance manquante",IF(Q105&lt;p_today,"En retard",IF(Q105-p_today&lt;=p_alert,"Échéance proche","Dans les délais")))))))</f>
        <v/>
      </c>
      <c r="AB105" s="58" t="str">
        <f>IF(AND(A105="",B105="",D105="",F105="",H105="",K105="",O105=""),"",IF(D105="","Mode de défaillance manquant",IF(AND(A105&lt;&gt;"",COUNTIF(am_num,A105)&gt;1),"N° en double",IF(F105="","Gravité G manquante",IF(NOT(IF(ISNUMBER(F105),AND(F105&gt;=1,F105&lt;=10,F105=INT(F105)),FALSE)),"G : entier de 1 à 10",IF(H105="","Occurrence O manquante",IF(NOT(IF(ISNUMBER(H105),AND(H105&gt;=1,H105&lt;=10,H105=INT(H105)),FALSE)),"O : entier de 1 à 10",IF(K105="","Détection D manquante",IF(NOT(IF(ISNUMBER(K105),AND(K105&gt;=1,K105&lt;=10,K105=INT(K105)),FALSE)),"D : entier de 1 à 10",IF(G105="","Cause manquante",IF(AND(O105&lt;&gt;"",P105=""),"Responsable manquant",IF(AND(R105&lt;&gt;"",O105=""),"Statut sans action",IF(AND(R105="Réalisée",N(S105)=0),"Date de réalisation manquante",IF(AND(T105&lt;&gt;"",IF(ISNUMBER(T105),T105&lt;0,TRUE)),"Coût invalide",IF(AND(COUNTBLANK(U105:W105)&gt;0,COUNTBLANK(U105:W105)&lt;3),"Cotation après action incomplète",IF(AND(COUNTBLANK(U105:W105)=0,X105=""),"G', O', D' : entiers de 1 à 10",IF(AND(X105&lt;&gt;"",X105&gt;L105),"IPR après action plus élevé","OK")))))))))))))))))</f>
        <v/>
      </c>
      <c r="AC105" s="59" t="str">
        <f>IF(OR(AA105="En retard",AA105="Échéance proche",AA105="Dans les délais",AA105="Échéance manquante",AA105="Action à définir",AA105="À réévaluer"),IF(OR(plan_who="",P105=plan_who),IF(N(Q105)&gt;0,Q105,99999)*1000+ROW(),""),"")</f>
        <v/>
      </c>
      <c r="AD105" s="59" t="str">
        <f>IF(L105="","",L105*1000+1000-ROW())</f>
        <v/>
      </c>
      <c r="AE105" s="59" t="str">
        <f>IF(IF(AA105="En retard",1,IF(AA105="Action à définir",2,IF(AA105="Échéance manquante",3,IF(AA105="Échéance proche",4,IF(AA105="À réévaluer",5,0)))))=0,"",IF(AA105="En retard",1,IF(AA105="Action à définir",2,IF(AA105="Échéance manquante",3,IF(AA105="Échéance proche",4,IF(AA105="À réévaluer",5,0)))))*100000000+IF(N(Q105)&gt;0,Q105,99999)*1000+ROW())</f>
        <v/>
      </c>
      <c r="AF105" s="59" t="str">
        <f>IF(X105&lt;&gt;"",X105,L105)</f>
        <v/>
      </c>
      <c r="AG105" s="59" t="str">
        <f>IF(X105&lt;&gt;"",Y105,IF(L105&lt;&gt;"",M105,""))</f>
        <v/>
      </c>
      <c r="AH105" s="59" t="str">
        <f>IF(L105="","",IF(X105&lt;&gt;"",U105,F105))</f>
        <v/>
      </c>
      <c r="AI105" s="59" t="str">
        <f>IF(L105="","",IF(X105&lt;&gt;"",V105,H105))</f>
        <v/>
      </c>
    </row>
    <row r="106" ht="30" customHeight="1">
      <c r="A106" s="50" t="n"/>
      <c r="B106" s="51" t="n"/>
      <c r="C106" s="51" t="n"/>
      <c r="D106" s="51" t="n"/>
      <c r="E106" s="51" t="n"/>
      <c r="F106" s="52" t="n"/>
      <c r="G106" s="51" t="n"/>
      <c r="H106" s="52" t="n"/>
      <c r="I106" s="51" t="n"/>
      <c r="J106" s="51" t="n"/>
      <c r="K106" s="52" t="n"/>
      <c r="L106" s="53" t="str">
        <f>IF(AND(IF(ISNUMBER(F106),AND(F106&gt;=1,F106&lt;=10,F106=INT(F106)),FALSE),IF(ISNUMBER(H106),AND(H106&gt;=1,H106&lt;=10,H106=INT(H106)),FALSE),IF(ISNUMBER(K106),AND(K106&gt;=1,K106&lt;=10,K106=INT(K106)),FALSE)),F106*H106*K106,"")</f>
        <v/>
      </c>
      <c r="M106" s="54" t="str">
        <f>IF(L106="",IF(D106="","","À coter"),IF(OR(F106&gt;=p_gmin,L106&gt;=p_ipr_crit),"Critique",IF(L106&gt;=p_ipr_act,"Élevée",IF(L106&gt;=p_ipr_watch,"Moyenne","Faible"))))</f>
        <v/>
      </c>
      <c r="N106" s="54" t="str">
        <f>IF(OR(M106="",M106="À coter"),"",IF(OR(M106="Critique",M106="Élevée"),"Oui","Non"))</f>
        <v/>
      </c>
      <c r="O106" s="51" t="n"/>
      <c r="P106" s="51" t="n"/>
      <c r="Q106" s="55" t="n"/>
      <c r="R106" s="50" t="n"/>
      <c r="S106" s="55" t="n"/>
      <c r="T106" s="56" t="n"/>
      <c r="U106" s="52" t="n"/>
      <c r="V106" s="52" t="n"/>
      <c r="W106" s="52" t="n"/>
      <c r="X106" s="53" t="str">
        <f>IF(AND(L106&lt;&gt;"",IF(ISNUMBER(U106),AND(U106&gt;=1,U106&lt;=10,U106=INT(U106)),FALSE),IF(ISNUMBER(V106),AND(V106&gt;=1,V106&lt;=10,V106=INT(V106)),FALSE),IF(ISNUMBER(W106),AND(W106&gt;=1,W106&lt;=10,W106=INT(W106)),FALSE)),U106*V106*W106,"")</f>
        <v/>
      </c>
      <c r="Y106" s="54" t="str">
        <f>IF(X106="","",IF(OR(U106&gt;=p_gmin,X106&gt;=p_ipr_crit),"Critique",IF(X106&gt;=p_ipr_act,"Élevée",IF(X106&gt;=p_ipr_watch,"Moyenne","Faible"))))</f>
        <v/>
      </c>
      <c r="Z106" s="57" t="str">
        <f>IF(X106="","",(L106-X106)/L106)</f>
        <v/>
      </c>
      <c r="AA106" s="54" t="str">
        <f>IF(AND(D106="",O106=""),"",IF(O106="",IF(N106="Oui","Action à définir",IF(N106="Non","Sans action","")),IF(R106="Annulée","Annulée",IF(R106="Réalisée",IF(X106="","À réévaluer","Réalisée"),IF(N(Q106)=0,"Échéance manquante",IF(Q106&lt;p_today,"En retard",IF(Q106-p_today&lt;=p_alert,"Échéance proche","Dans les délais")))))))</f>
        <v/>
      </c>
      <c r="AB106" s="58" t="str">
        <f>IF(AND(A106="",B106="",D106="",F106="",H106="",K106="",O106=""),"",IF(D106="","Mode de défaillance manquant",IF(AND(A106&lt;&gt;"",COUNTIF(am_num,A106)&gt;1),"N° en double",IF(F106="","Gravité G manquante",IF(NOT(IF(ISNUMBER(F106),AND(F106&gt;=1,F106&lt;=10,F106=INT(F106)),FALSE)),"G : entier de 1 à 10",IF(H106="","Occurrence O manquante",IF(NOT(IF(ISNUMBER(H106),AND(H106&gt;=1,H106&lt;=10,H106=INT(H106)),FALSE)),"O : entier de 1 à 10",IF(K106="","Détection D manquante",IF(NOT(IF(ISNUMBER(K106),AND(K106&gt;=1,K106&lt;=10,K106=INT(K106)),FALSE)),"D : entier de 1 à 10",IF(G106="","Cause manquante",IF(AND(O106&lt;&gt;"",P106=""),"Responsable manquant",IF(AND(R106&lt;&gt;"",O106=""),"Statut sans action",IF(AND(R106="Réalisée",N(S106)=0),"Date de réalisation manquante",IF(AND(T106&lt;&gt;"",IF(ISNUMBER(T106),T106&lt;0,TRUE)),"Coût invalide",IF(AND(COUNTBLANK(U106:W106)&gt;0,COUNTBLANK(U106:W106)&lt;3),"Cotation après action incomplète",IF(AND(COUNTBLANK(U106:W106)=0,X106=""),"G', O', D' : entiers de 1 à 10",IF(AND(X106&lt;&gt;"",X106&gt;L106),"IPR après action plus élevé","OK")))))))))))))))))</f>
        <v/>
      </c>
      <c r="AC106" s="59" t="str">
        <f>IF(OR(AA106="En retard",AA106="Échéance proche",AA106="Dans les délais",AA106="Échéance manquante",AA106="Action à définir",AA106="À réévaluer"),IF(OR(plan_who="",P106=plan_who),IF(N(Q106)&gt;0,Q106,99999)*1000+ROW(),""),"")</f>
        <v/>
      </c>
      <c r="AD106" s="59" t="str">
        <f>IF(L106="","",L106*1000+1000-ROW())</f>
        <v/>
      </c>
      <c r="AE106" s="59" t="str">
        <f>IF(IF(AA106="En retard",1,IF(AA106="Action à définir",2,IF(AA106="Échéance manquante",3,IF(AA106="Échéance proche",4,IF(AA106="À réévaluer",5,0)))))=0,"",IF(AA106="En retard",1,IF(AA106="Action à définir",2,IF(AA106="Échéance manquante",3,IF(AA106="Échéance proche",4,IF(AA106="À réévaluer",5,0)))))*100000000+IF(N(Q106)&gt;0,Q106,99999)*1000+ROW())</f>
        <v/>
      </c>
      <c r="AF106" s="59" t="str">
        <f>IF(X106&lt;&gt;"",X106,L106)</f>
        <v/>
      </c>
      <c r="AG106" s="59" t="str">
        <f>IF(X106&lt;&gt;"",Y106,IF(L106&lt;&gt;"",M106,""))</f>
        <v/>
      </c>
      <c r="AH106" s="59" t="str">
        <f>IF(L106="","",IF(X106&lt;&gt;"",U106,F106))</f>
        <v/>
      </c>
      <c r="AI106" s="59" t="str">
        <f>IF(L106="","",IF(X106&lt;&gt;"",V106,H106))</f>
        <v/>
      </c>
    </row>
    <row r="107" ht="30" customHeight="1">
      <c r="A107" s="50" t="n"/>
      <c r="B107" s="51" t="n"/>
      <c r="C107" s="51" t="n"/>
      <c r="D107" s="51" t="n"/>
      <c r="E107" s="51" t="n"/>
      <c r="F107" s="52" t="n"/>
      <c r="G107" s="51" t="n"/>
      <c r="H107" s="52" t="n"/>
      <c r="I107" s="51" t="n"/>
      <c r="J107" s="51" t="n"/>
      <c r="K107" s="52" t="n"/>
      <c r="L107" s="53" t="str">
        <f>IF(AND(IF(ISNUMBER(F107),AND(F107&gt;=1,F107&lt;=10,F107=INT(F107)),FALSE),IF(ISNUMBER(H107),AND(H107&gt;=1,H107&lt;=10,H107=INT(H107)),FALSE),IF(ISNUMBER(K107),AND(K107&gt;=1,K107&lt;=10,K107=INT(K107)),FALSE)),F107*H107*K107,"")</f>
        <v/>
      </c>
      <c r="M107" s="54" t="str">
        <f>IF(L107="",IF(D107="","","À coter"),IF(OR(F107&gt;=p_gmin,L107&gt;=p_ipr_crit),"Critique",IF(L107&gt;=p_ipr_act,"Élevée",IF(L107&gt;=p_ipr_watch,"Moyenne","Faible"))))</f>
        <v/>
      </c>
      <c r="N107" s="54" t="str">
        <f>IF(OR(M107="",M107="À coter"),"",IF(OR(M107="Critique",M107="Élevée"),"Oui","Non"))</f>
        <v/>
      </c>
      <c r="O107" s="51" t="n"/>
      <c r="P107" s="51" t="n"/>
      <c r="Q107" s="55" t="n"/>
      <c r="R107" s="50" t="n"/>
      <c r="S107" s="55" t="n"/>
      <c r="T107" s="56" t="n"/>
      <c r="U107" s="52" t="n"/>
      <c r="V107" s="52" t="n"/>
      <c r="W107" s="52" t="n"/>
      <c r="X107" s="53" t="str">
        <f>IF(AND(L107&lt;&gt;"",IF(ISNUMBER(U107),AND(U107&gt;=1,U107&lt;=10,U107=INT(U107)),FALSE),IF(ISNUMBER(V107),AND(V107&gt;=1,V107&lt;=10,V107=INT(V107)),FALSE),IF(ISNUMBER(W107),AND(W107&gt;=1,W107&lt;=10,W107=INT(W107)),FALSE)),U107*V107*W107,"")</f>
        <v/>
      </c>
      <c r="Y107" s="54" t="str">
        <f>IF(X107="","",IF(OR(U107&gt;=p_gmin,X107&gt;=p_ipr_crit),"Critique",IF(X107&gt;=p_ipr_act,"Élevée",IF(X107&gt;=p_ipr_watch,"Moyenne","Faible"))))</f>
        <v/>
      </c>
      <c r="Z107" s="57" t="str">
        <f>IF(X107="","",(L107-X107)/L107)</f>
        <v/>
      </c>
      <c r="AA107" s="54" t="str">
        <f>IF(AND(D107="",O107=""),"",IF(O107="",IF(N107="Oui","Action à définir",IF(N107="Non","Sans action","")),IF(R107="Annulée","Annulée",IF(R107="Réalisée",IF(X107="","À réévaluer","Réalisée"),IF(N(Q107)=0,"Échéance manquante",IF(Q107&lt;p_today,"En retard",IF(Q107-p_today&lt;=p_alert,"Échéance proche","Dans les délais")))))))</f>
        <v/>
      </c>
      <c r="AB107" s="58" t="str">
        <f>IF(AND(A107="",B107="",D107="",F107="",H107="",K107="",O107=""),"",IF(D107="","Mode de défaillance manquant",IF(AND(A107&lt;&gt;"",COUNTIF(am_num,A107)&gt;1),"N° en double",IF(F107="","Gravité G manquante",IF(NOT(IF(ISNUMBER(F107),AND(F107&gt;=1,F107&lt;=10,F107=INT(F107)),FALSE)),"G : entier de 1 à 10",IF(H107="","Occurrence O manquante",IF(NOT(IF(ISNUMBER(H107),AND(H107&gt;=1,H107&lt;=10,H107=INT(H107)),FALSE)),"O : entier de 1 à 10",IF(K107="","Détection D manquante",IF(NOT(IF(ISNUMBER(K107),AND(K107&gt;=1,K107&lt;=10,K107=INT(K107)),FALSE)),"D : entier de 1 à 10",IF(G107="","Cause manquante",IF(AND(O107&lt;&gt;"",P107=""),"Responsable manquant",IF(AND(R107&lt;&gt;"",O107=""),"Statut sans action",IF(AND(R107="Réalisée",N(S107)=0),"Date de réalisation manquante",IF(AND(T107&lt;&gt;"",IF(ISNUMBER(T107),T107&lt;0,TRUE)),"Coût invalide",IF(AND(COUNTBLANK(U107:W107)&gt;0,COUNTBLANK(U107:W107)&lt;3),"Cotation après action incomplète",IF(AND(COUNTBLANK(U107:W107)=0,X107=""),"G', O', D' : entiers de 1 à 10",IF(AND(X107&lt;&gt;"",X107&gt;L107),"IPR après action plus élevé","OK")))))))))))))))))</f>
        <v/>
      </c>
      <c r="AC107" s="59" t="str">
        <f>IF(OR(AA107="En retard",AA107="Échéance proche",AA107="Dans les délais",AA107="Échéance manquante",AA107="Action à définir",AA107="À réévaluer"),IF(OR(plan_who="",P107=plan_who),IF(N(Q107)&gt;0,Q107,99999)*1000+ROW(),""),"")</f>
        <v/>
      </c>
      <c r="AD107" s="59" t="str">
        <f>IF(L107="","",L107*1000+1000-ROW())</f>
        <v/>
      </c>
      <c r="AE107" s="59" t="str">
        <f>IF(IF(AA107="En retard",1,IF(AA107="Action à définir",2,IF(AA107="Échéance manquante",3,IF(AA107="Échéance proche",4,IF(AA107="À réévaluer",5,0)))))=0,"",IF(AA107="En retard",1,IF(AA107="Action à définir",2,IF(AA107="Échéance manquante",3,IF(AA107="Échéance proche",4,IF(AA107="À réévaluer",5,0)))))*100000000+IF(N(Q107)&gt;0,Q107,99999)*1000+ROW())</f>
        <v/>
      </c>
      <c r="AF107" s="59" t="str">
        <f>IF(X107&lt;&gt;"",X107,L107)</f>
        <v/>
      </c>
      <c r="AG107" s="59" t="str">
        <f>IF(X107&lt;&gt;"",Y107,IF(L107&lt;&gt;"",M107,""))</f>
        <v/>
      </c>
      <c r="AH107" s="59" t="str">
        <f>IF(L107="","",IF(X107&lt;&gt;"",U107,F107))</f>
        <v/>
      </c>
      <c r="AI107" s="59" t="str">
        <f>IF(L107="","",IF(X107&lt;&gt;"",V107,H107))</f>
        <v/>
      </c>
    </row>
    <row r="108" ht="30" customHeight="1">
      <c r="A108" s="50" t="n"/>
      <c r="B108" s="51" t="n"/>
      <c r="C108" s="51" t="n"/>
      <c r="D108" s="51" t="n"/>
      <c r="E108" s="51" t="n"/>
      <c r="F108" s="52" t="n"/>
      <c r="G108" s="51" t="n"/>
      <c r="H108" s="52" t="n"/>
      <c r="I108" s="51" t="n"/>
      <c r="J108" s="51" t="n"/>
      <c r="K108" s="52" t="n"/>
      <c r="L108" s="53" t="str">
        <f>IF(AND(IF(ISNUMBER(F108),AND(F108&gt;=1,F108&lt;=10,F108=INT(F108)),FALSE),IF(ISNUMBER(H108),AND(H108&gt;=1,H108&lt;=10,H108=INT(H108)),FALSE),IF(ISNUMBER(K108),AND(K108&gt;=1,K108&lt;=10,K108=INT(K108)),FALSE)),F108*H108*K108,"")</f>
        <v/>
      </c>
      <c r="M108" s="54" t="str">
        <f>IF(L108="",IF(D108="","","À coter"),IF(OR(F108&gt;=p_gmin,L108&gt;=p_ipr_crit),"Critique",IF(L108&gt;=p_ipr_act,"Élevée",IF(L108&gt;=p_ipr_watch,"Moyenne","Faible"))))</f>
        <v/>
      </c>
      <c r="N108" s="54" t="str">
        <f>IF(OR(M108="",M108="À coter"),"",IF(OR(M108="Critique",M108="Élevée"),"Oui","Non"))</f>
        <v/>
      </c>
      <c r="O108" s="51" t="n"/>
      <c r="P108" s="51" t="n"/>
      <c r="Q108" s="55" t="n"/>
      <c r="R108" s="50" t="n"/>
      <c r="S108" s="55" t="n"/>
      <c r="T108" s="56" t="n"/>
      <c r="U108" s="52" t="n"/>
      <c r="V108" s="52" t="n"/>
      <c r="W108" s="52" t="n"/>
      <c r="X108" s="53" t="str">
        <f>IF(AND(L108&lt;&gt;"",IF(ISNUMBER(U108),AND(U108&gt;=1,U108&lt;=10,U108=INT(U108)),FALSE),IF(ISNUMBER(V108),AND(V108&gt;=1,V108&lt;=10,V108=INT(V108)),FALSE),IF(ISNUMBER(W108),AND(W108&gt;=1,W108&lt;=10,W108=INT(W108)),FALSE)),U108*V108*W108,"")</f>
        <v/>
      </c>
      <c r="Y108" s="54" t="str">
        <f>IF(X108="","",IF(OR(U108&gt;=p_gmin,X108&gt;=p_ipr_crit),"Critique",IF(X108&gt;=p_ipr_act,"Élevée",IF(X108&gt;=p_ipr_watch,"Moyenne","Faible"))))</f>
        <v/>
      </c>
      <c r="Z108" s="57" t="str">
        <f>IF(X108="","",(L108-X108)/L108)</f>
        <v/>
      </c>
      <c r="AA108" s="54" t="str">
        <f>IF(AND(D108="",O108=""),"",IF(O108="",IF(N108="Oui","Action à définir",IF(N108="Non","Sans action","")),IF(R108="Annulée","Annulée",IF(R108="Réalisée",IF(X108="","À réévaluer","Réalisée"),IF(N(Q108)=0,"Échéance manquante",IF(Q108&lt;p_today,"En retard",IF(Q108-p_today&lt;=p_alert,"Échéance proche","Dans les délais")))))))</f>
        <v/>
      </c>
      <c r="AB108" s="58" t="str">
        <f>IF(AND(A108="",B108="",D108="",F108="",H108="",K108="",O108=""),"",IF(D108="","Mode de défaillance manquant",IF(AND(A108&lt;&gt;"",COUNTIF(am_num,A108)&gt;1),"N° en double",IF(F108="","Gravité G manquante",IF(NOT(IF(ISNUMBER(F108),AND(F108&gt;=1,F108&lt;=10,F108=INT(F108)),FALSE)),"G : entier de 1 à 10",IF(H108="","Occurrence O manquante",IF(NOT(IF(ISNUMBER(H108),AND(H108&gt;=1,H108&lt;=10,H108=INT(H108)),FALSE)),"O : entier de 1 à 10",IF(K108="","Détection D manquante",IF(NOT(IF(ISNUMBER(K108),AND(K108&gt;=1,K108&lt;=10,K108=INT(K108)),FALSE)),"D : entier de 1 à 10",IF(G108="","Cause manquante",IF(AND(O108&lt;&gt;"",P108=""),"Responsable manquant",IF(AND(R108&lt;&gt;"",O108=""),"Statut sans action",IF(AND(R108="Réalisée",N(S108)=0),"Date de réalisation manquante",IF(AND(T108&lt;&gt;"",IF(ISNUMBER(T108),T108&lt;0,TRUE)),"Coût invalide",IF(AND(COUNTBLANK(U108:W108)&gt;0,COUNTBLANK(U108:W108)&lt;3),"Cotation après action incomplète",IF(AND(COUNTBLANK(U108:W108)=0,X108=""),"G', O', D' : entiers de 1 à 10",IF(AND(X108&lt;&gt;"",X108&gt;L108),"IPR après action plus élevé","OK")))))))))))))))))</f>
        <v/>
      </c>
      <c r="AC108" s="59" t="str">
        <f>IF(OR(AA108="En retard",AA108="Échéance proche",AA108="Dans les délais",AA108="Échéance manquante",AA108="Action à définir",AA108="À réévaluer"),IF(OR(plan_who="",P108=plan_who),IF(N(Q108)&gt;0,Q108,99999)*1000+ROW(),""),"")</f>
        <v/>
      </c>
      <c r="AD108" s="59" t="str">
        <f>IF(L108="","",L108*1000+1000-ROW())</f>
        <v/>
      </c>
      <c r="AE108" s="59" t="str">
        <f>IF(IF(AA108="En retard",1,IF(AA108="Action à définir",2,IF(AA108="Échéance manquante",3,IF(AA108="Échéance proche",4,IF(AA108="À réévaluer",5,0)))))=0,"",IF(AA108="En retard",1,IF(AA108="Action à définir",2,IF(AA108="Échéance manquante",3,IF(AA108="Échéance proche",4,IF(AA108="À réévaluer",5,0)))))*100000000+IF(N(Q108)&gt;0,Q108,99999)*1000+ROW())</f>
        <v/>
      </c>
      <c r="AF108" s="59" t="str">
        <f>IF(X108&lt;&gt;"",X108,L108)</f>
        <v/>
      </c>
      <c r="AG108" s="59" t="str">
        <f>IF(X108&lt;&gt;"",Y108,IF(L108&lt;&gt;"",M108,""))</f>
        <v/>
      </c>
      <c r="AH108" s="59" t="str">
        <f>IF(L108="","",IF(X108&lt;&gt;"",U108,F108))</f>
        <v/>
      </c>
      <c r="AI108" s="59" t="str">
        <f>IF(L108="","",IF(X108&lt;&gt;"",V108,H108))</f>
        <v/>
      </c>
    </row>
    <row r="109" ht="30" customHeight="1">
      <c r="A109" s="50" t="n"/>
      <c r="B109" s="51" t="n"/>
      <c r="C109" s="51" t="n"/>
      <c r="D109" s="51" t="n"/>
      <c r="E109" s="51" t="n"/>
      <c r="F109" s="52" t="n"/>
      <c r="G109" s="51" t="n"/>
      <c r="H109" s="52" t="n"/>
      <c r="I109" s="51" t="n"/>
      <c r="J109" s="51" t="n"/>
      <c r="K109" s="52" t="n"/>
      <c r="L109" s="53" t="str">
        <f>IF(AND(IF(ISNUMBER(F109),AND(F109&gt;=1,F109&lt;=10,F109=INT(F109)),FALSE),IF(ISNUMBER(H109),AND(H109&gt;=1,H109&lt;=10,H109=INT(H109)),FALSE),IF(ISNUMBER(K109),AND(K109&gt;=1,K109&lt;=10,K109=INT(K109)),FALSE)),F109*H109*K109,"")</f>
        <v/>
      </c>
      <c r="M109" s="54" t="str">
        <f>IF(L109="",IF(D109="","","À coter"),IF(OR(F109&gt;=p_gmin,L109&gt;=p_ipr_crit),"Critique",IF(L109&gt;=p_ipr_act,"Élevée",IF(L109&gt;=p_ipr_watch,"Moyenne","Faible"))))</f>
        <v/>
      </c>
      <c r="N109" s="54" t="str">
        <f>IF(OR(M109="",M109="À coter"),"",IF(OR(M109="Critique",M109="Élevée"),"Oui","Non"))</f>
        <v/>
      </c>
      <c r="O109" s="51" t="n"/>
      <c r="P109" s="51" t="n"/>
      <c r="Q109" s="55" t="n"/>
      <c r="R109" s="50" t="n"/>
      <c r="S109" s="55" t="n"/>
      <c r="T109" s="56" t="n"/>
      <c r="U109" s="52" t="n"/>
      <c r="V109" s="52" t="n"/>
      <c r="W109" s="52" t="n"/>
      <c r="X109" s="53" t="str">
        <f>IF(AND(L109&lt;&gt;"",IF(ISNUMBER(U109),AND(U109&gt;=1,U109&lt;=10,U109=INT(U109)),FALSE),IF(ISNUMBER(V109),AND(V109&gt;=1,V109&lt;=10,V109=INT(V109)),FALSE),IF(ISNUMBER(W109),AND(W109&gt;=1,W109&lt;=10,W109=INT(W109)),FALSE)),U109*V109*W109,"")</f>
        <v/>
      </c>
      <c r="Y109" s="54" t="str">
        <f>IF(X109="","",IF(OR(U109&gt;=p_gmin,X109&gt;=p_ipr_crit),"Critique",IF(X109&gt;=p_ipr_act,"Élevée",IF(X109&gt;=p_ipr_watch,"Moyenne","Faible"))))</f>
        <v/>
      </c>
      <c r="Z109" s="57" t="str">
        <f>IF(X109="","",(L109-X109)/L109)</f>
        <v/>
      </c>
      <c r="AA109" s="54" t="str">
        <f>IF(AND(D109="",O109=""),"",IF(O109="",IF(N109="Oui","Action à définir",IF(N109="Non","Sans action","")),IF(R109="Annulée","Annulée",IF(R109="Réalisée",IF(X109="","À réévaluer","Réalisée"),IF(N(Q109)=0,"Échéance manquante",IF(Q109&lt;p_today,"En retard",IF(Q109-p_today&lt;=p_alert,"Échéance proche","Dans les délais")))))))</f>
        <v/>
      </c>
      <c r="AB109" s="58" t="str">
        <f>IF(AND(A109="",B109="",D109="",F109="",H109="",K109="",O109=""),"",IF(D109="","Mode de défaillance manquant",IF(AND(A109&lt;&gt;"",COUNTIF(am_num,A109)&gt;1),"N° en double",IF(F109="","Gravité G manquante",IF(NOT(IF(ISNUMBER(F109),AND(F109&gt;=1,F109&lt;=10,F109=INT(F109)),FALSE)),"G : entier de 1 à 10",IF(H109="","Occurrence O manquante",IF(NOT(IF(ISNUMBER(H109),AND(H109&gt;=1,H109&lt;=10,H109=INT(H109)),FALSE)),"O : entier de 1 à 10",IF(K109="","Détection D manquante",IF(NOT(IF(ISNUMBER(K109),AND(K109&gt;=1,K109&lt;=10,K109=INT(K109)),FALSE)),"D : entier de 1 à 10",IF(G109="","Cause manquante",IF(AND(O109&lt;&gt;"",P109=""),"Responsable manquant",IF(AND(R109&lt;&gt;"",O109=""),"Statut sans action",IF(AND(R109="Réalisée",N(S109)=0),"Date de réalisation manquante",IF(AND(T109&lt;&gt;"",IF(ISNUMBER(T109),T109&lt;0,TRUE)),"Coût invalide",IF(AND(COUNTBLANK(U109:W109)&gt;0,COUNTBLANK(U109:W109)&lt;3),"Cotation après action incomplète",IF(AND(COUNTBLANK(U109:W109)=0,X109=""),"G', O', D' : entiers de 1 à 10",IF(AND(X109&lt;&gt;"",X109&gt;L109),"IPR après action plus élevé","OK")))))))))))))))))</f>
        <v/>
      </c>
      <c r="AC109" s="59" t="str">
        <f>IF(OR(AA109="En retard",AA109="Échéance proche",AA109="Dans les délais",AA109="Échéance manquante",AA109="Action à définir",AA109="À réévaluer"),IF(OR(plan_who="",P109=plan_who),IF(N(Q109)&gt;0,Q109,99999)*1000+ROW(),""),"")</f>
        <v/>
      </c>
      <c r="AD109" s="59" t="str">
        <f>IF(L109="","",L109*1000+1000-ROW())</f>
        <v/>
      </c>
      <c r="AE109" s="59" t="str">
        <f>IF(IF(AA109="En retard",1,IF(AA109="Action à définir",2,IF(AA109="Échéance manquante",3,IF(AA109="Échéance proche",4,IF(AA109="À réévaluer",5,0)))))=0,"",IF(AA109="En retard",1,IF(AA109="Action à définir",2,IF(AA109="Échéance manquante",3,IF(AA109="Échéance proche",4,IF(AA109="À réévaluer",5,0)))))*100000000+IF(N(Q109)&gt;0,Q109,99999)*1000+ROW())</f>
        <v/>
      </c>
      <c r="AF109" s="59" t="str">
        <f>IF(X109&lt;&gt;"",X109,L109)</f>
        <v/>
      </c>
      <c r="AG109" s="59" t="str">
        <f>IF(X109&lt;&gt;"",Y109,IF(L109&lt;&gt;"",M109,""))</f>
        <v/>
      </c>
      <c r="AH109" s="59" t="str">
        <f>IF(L109="","",IF(X109&lt;&gt;"",U109,F109))</f>
        <v/>
      </c>
      <c r="AI109" s="59" t="str">
        <f>IF(L109="","",IF(X109&lt;&gt;"",V109,H109))</f>
        <v/>
      </c>
    </row>
    <row r="110" ht="30" customHeight="1">
      <c r="A110" s="50" t="n"/>
      <c r="B110" s="51" t="n"/>
      <c r="C110" s="51" t="n"/>
      <c r="D110" s="51" t="n"/>
      <c r="E110" s="51" t="n"/>
      <c r="F110" s="52" t="n"/>
      <c r="G110" s="51" t="n"/>
      <c r="H110" s="52" t="n"/>
      <c r="I110" s="51" t="n"/>
      <c r="J110" s="51" t="n"/>
      <c r="K110" s="52" t="n"/>
      <c r="L110" s="53" t="str">
        <f>IF(AND(IF(ISNUMBER(F110),AND(F110&gt;=1,F110&lt;=10,F110=INT(F110)),FALSE),IF(ISNUMBER(H110),AND(H110&gt;=1,H110&lt;=10,H110=INT(H110)),FALSE),IF(ISNUMBER(K110),AND(K110&gt;=1,K110&lt;=10,K110=INT(K110)),FALSE)),F110*H110*K110,"")</f>
        <v/>
      </c>
      <c r="M110" s="54" t="str">
        <f>IF(L110="",IF(D110="","","À coter"),IF(OR(F110&gt;=p_gmin,L110&gt;=p_ipr_crit),"Critique",IF(L110&gt;=p_ipr_act,"Élevée",IF(L110&gt;=p_ipr_watch,"Moyenne","Faible"))))</f>
        <v/>
      </c>
      <c r="N110" s="54" t="str">
        <f>IF(OR(M110="",M110="À coter"),"",IF(OR(M110="Critique",M110="Élevée"),"Oui","Non"))</f>
        <v/>
      </c>
      <c r="O110" s="51" t="n"/>
      <c r="P110" s="51" t="n"/>
      <c r="Q110" s="55" t="n"/>
      <c r="R110" s="50" t="n"/>
      <c r="S110" s="55" t="n"/>
      <c r="T110" s="56" t="n"/>
      <c r="U110" s="52" t="n"/>
      <c r="V110" s="52" t="n"/>
      <c r="W110" s="52" t="n"/>
      <c r="X110" s="53" t="str">
        <f>IF(AND(L110&lt;&gt;"",IF(ISNUMBER(U110),AND(U110&gt;=1,U110&lt;=10,U110=INT(U110)),FALSE),IF(ISNUMBER(V110),AND(V110&gt;=1,V110&lt;=10,V110=INT(V110)),FALSE),IF(ISNUMBER(W110),AND(W110&gt;=1,W110&lt;=10,W110=INT(W110)),FALSE)),U110*V110*W110,"")</f>
        <v/>
      </c>
      <c r="Y110" s="54" t="str">
        <f>IF(X110="","",IF(OR(U110&gt;=p_gmin,X110&gt;=p_ipr_crit),"Critique",IF(X110&gt;=p_ipr_act,"Élevée",IF(X110&gt;=p_ipr_watch,"Moyenne","Faible"))))</f>
        <v/>
      </c>
      <c r="Z110" s="57" t="str">
        <f>IF(X110="","",(L110-X110)/L110)</f>
        <v/>
      </c>
      <c r="AA110" s="54" t="str">
        <f>IF(AND(D110="",O110=""),"",IF(O110="",IF(N110="Oui","Action à définir",IF(N110="Non","Sans action","")),IF(R110="Annulée","Annulée",IF(R110="Réalisée",IF(X110="","À réévaluer","Réalisée"),IF(N(Q110)=0,"Échéance manquante",IF(Q110&lt;p_today,"En retard",IF(Q110-p_today&lt;=p_alert,"Échéance proche","Dans les délais")))))))</f>
        <v/>
      </c>
      <c r="AB110" s="58" t="str">
        <f>IF(AND(A110="",B110="",D110="",F110="",H110="",K110="",O110=""),"",IF(D110="","Mode de défaillance manquant",IF(AND(A110&lt;&gt;"",COUNTIF(am_num,A110)&gt;1),"N° en double",IF(F110="","Gravité G manquante",IF(NOT(IF(ISNUMBER(F110),AND(F110&gt;=1,F110&lt;=10,F110=INT(F110)),FALSE)),"G : entier de 1 à 10",IF(H110="","Occurrence O manquante",IF(NOT(IF(ISNUMBER(H110),AND(H110&gt;=1,H110&lt;=10,H110=INT(H110)),FALSE)),"O : entier de 1 à 10",IF(K110="","Détection D manquante",IF(NOT(IF(ISNUMBER(K110),AND(K110&gt;=1,K110&lt;=10,K110=INT(K110)),FALSE)),"D : entier de 1 à 10",IF(G110="","Cause manquante",IF(AND(O110&lt;&gt;"",P110=""),"Responsable manquant",IF(AND(R110&lt;&gt;"",O110=""),"Statut sans action",IF(AND(R110="Réalisée",N(S110)=0),"Date de réalisation manquante",IF(AND(T110&lt;&gt;"",IF(ISNUMBER(T110),T110&lt;0,TRUE)),"Coût invalide",IF(AND(COUNTBLANK(U110:W110)&gt;0,COUNTBLANK(U110:W110)&lt;3),"Cotation après action incomplète",IF(AND(COUNTBLANK(U110:W110)=0,X110=""),"G', O', D' : entiers de 1 à 10",IF(AND(X110&lt;&gt;"",X110&gt;L110),"IPR après action plus élevé","OK")))))))))))))))))</f>
        <v/>
      </c>
      <c r="AC110" s="59" t="str">
        <f>IF(OR(AA110="En retard",AA110="Échéance proche",AA110="Dans les délais",AA110="Échéance manquante",AA110="Action à définir",AA110="À réévaluer"),IF(OR(plan_who="",P110=plan_who),IF(N(Q110)&gt;0,Q110,99999)*1000+ROW(),""),"")</f>
        <v/>
      </c>
      <c r="AD110" s="59" t="str">
        <f>IF(L110="","",L110*1000+1000-ROW())</f>
        <v/>
      </c>
      <c r="AE110" s="59" t="str">
        <f>IF(IF(AA110="En retard",1,IF(AA110="Action à définir",2,IF(AA110="Échéance manquante",3,IF(AA110="Échéance proche",4,IF(AA110="À réévaluer",5,0)))))=0,"",IF(AA110="En retard",1,IF(AA110="Action à définir",2,IF(AA110="Échéance manquante",3,IF(AA110="Échéance proche",4,IF(AA110="À réévaluer",5,0)))))*100000000+IF(N(Q110)&gt;0,Q110,99999)*1000+ROW())</f>
        <v/>
      </c>
      <c r="AF110" s="59" t="str">
        <f>IF(X110&lt;&gt;"",X110,L110)</f>
        <v/>
      </c>
      <c r="AG110" s="59" t="str">
        <f>IF(X110&lt;&gt;"",Y110,IF(L110&lt;&gt;"",M110,""))</f>
        <v/>
      </c>
      <c r="AH110" s="59" t="str">
        <f>IF(L110="","",IF(X110&lt;&gt;"",U110,F110))</f>
        <v/>
      </c>
      <c r="AI110" s="59" t="str">
        <f>IF(L110="","",IF(X110&lt;&gt;"",V110,H110))</f>
        <v/>
      </c>
    </row>
    <row r="111" ht="30" customHeight="1">
      <c r="A111" s="50" t="n"/>
      <c r="B111" s="51" t="n"/>
      <c r="C111" s="51" t="n"/>
      <c r="D111" s="51" t="n"/>
      <c r="E111" s="51" t="n"/>
      <c r="F111" s="52" t="n"/>
      <c r="G111" s="51" t="n"/>
      <c r="H111" s="52" t="n"/>
      <c r="I111" s="51" t="n"/>
      <c r="J111" s="51" t="n"/>
      <c r="K111" s="52" t="n"/>
      <c r="L111" s="53" t="str">
        <f>IF(AND(IF(ISNUMBER(F111),AND(F111&gt;=1,F111&lt;=10,F111=INT(F111)),FALSE),IF(ISNUMBER(H111),AND(H111&gt;=1,H111&lt;=10,H111=INT(H111)),FALSE),IF(ISNUMBER(K111),AND(K111&gt;=1,K111&lt;=10,K111=INT(K111)),FALSE)),F111*H111*K111,"")</f>
        <v/>
      </c>
      <c r="M111" s="54" t="str">
        <f>IF(L111="",IF(D111="","","À coter"),IF(OR(F111&gt;=p_gmin,L111&gt;=p_ipr_crit),"Critique",IF(L111&gt;=p_ipr_act,"Élevée",IF(L111&gt;=p_ipr_watch,"Moyenne","Faible"))))</f>
        <v/>
      </c>
      <c r="N111" s="54" t="str">
        <f>IF(OR(M111="",M111="À coter"),"",IF(OR(M111="Critique",M111="Élevée"),"Oui","Non"))</f>
        <v/>
      </c>
      <c r="O111" s="51" t="n"/>
      <c r="P111" s="51" t="n"/>
      <c r="Q111" s="55" t="n"/>
      <c r="R111" s="50" t="n"/>
      <c r="S111" s="55" t="n"/>
      <c r="T111" s="56" t="n"/>
      <c r="U111" s="52" t="n"/>
      <c r="V111" s="52" t="n"/>
      <c r="W111" s="52" t="n"/>
      <c r="X111" s="53" t="str">
        <f>IF(AND(L111&lt;&gt;"",IF(ISNUMBER(U111),AND(U111&gt;=1,U111&lt;=10,U111=INT(U111)),FALSE),IF(ISNUMBER(V111),AND(V111&gt;=1,V111&lt;=10,V111=INT(V111)),FALSE),IF(ISNUMBER(W111),AND(W111&gt;=1,W111&lt;=10,W111=INT(W111)),FALSE)),U111*V111*W111,"")</f>
        <v/>
      </c>
      <c r="Y111" s="54" t="str">
        <f>IF(X111="","",IF(OR(U111&gt;=p_gmin,X111&gt;=p_ipr_crit),"Critique",IF(X111&gt;=p_ipr_act,"Élevée",IF(X111&gt;=p_ipr_watch,"Moyenne","Faible"))))</f>
        <v/>
      </c>
      <c r="Z111" s="57" t="str">
        <f>IF(X111="","",(L111-X111)/L111)</f>
        <v/>
      </c>
      <c r="AA111" s="54" t="str">
        <f>IF(AND(D111="",O111=""),"",IF(O111="",IF(N111="Oui","Action à définir",IF(N111="Non","Sans action","")),IF(R111="Annulée","Annulée",IF(R111="Réalisée",IF(X111="","À réévaluer","Réalisée"),IF(N(Q111)=0,"Échéance manquante",IF(Q111&lt;p_today,"En retard",IF(Q111-p_today&lt;=p_alert,"Échéance proche","Dans les délais")))))))</f>
        <v/>
      </c>
      <c r="AB111" s="58" t="str">
        <f>IF(AND(A111="",B111="",D111="",F111="",H111="",K111="",O111=""),"",IF(D111="","Mode de défaillance manquant",IF(AND(A111&lt;&gt;"",COUNTIF(am_num,A111)&gt;1),"N° en double",IF(F111="","Gravité G manquante",IF(NOT(IF(ISNUMBER(F111),AND(F111&gt;=1,F111&lt;=10,F111=INT(F111)),FALSE)),"G : entier de 1 à 10",IF(H111="","Occurrence O manquante",IF(NOT(IF(ISNUMBER(H111),AND(H111&gt;=1,H111&lt;=10,H111=INT(H111)),FALSE)),"O : entier de 1 à 10",IF(K111="","Détection D manquante",IF(NOT(IF(ISNUMBER(K111),AND(K111&gt;=1,K111&lt;=10,K111=INT(K111)),FALSE)),"D : entier de 1 à 10",IF(G111="","Cause manquante",IF(AND(O111&lt;&gt;"",P111=""),"Responsable manquant",IF(AND(R111&lt;&gt;"",O111=""),"Statut sans action",IF(AND(R111="Réalisée",N(S111)=0),"Date de réalisation manquante",IF(AND(T111&lt;&gt;"",IF(ISNUMBER(T111),T111&lt;0,TRUE)),"Coût invalide",IF(AND(COUNTBLANK(U111:W111)&gt;0,COUNTBLANK(U111:W111)&lt;3),"Cotation après action incomplète",IF(AND(COUNTBLANK(U111:W111)=0,X111=""),"G', O', D' : entiers de 1 à 10",IF(AND(X111&lt;&gt;"",X111&gt;L111),"IPR après action plus élevé","OK")))))))))))))))))</f>
        <v/>
      </c>
      <c r="AC111" s="59" t="str">
        <f>IF(OR(AA111="En retard",AA111="Échéance proche",AA111="Dans les délais",AA111="Échéance manquante",AA111="Action à définir",AA111="À réévaluer"),IF(OR(plan_who="",P111=plan_who),IF(N(Q111)&gt;0,Q111,99999)*1000+ROW(),""),"")</f>
        <v/>
      </c>
      <c r="AD111" s="59" t="str">
        <f>IF(L111="","",L111*1000+1000-ROW())</f>
        <v/>
      </c>
      <c r="AE111" s="59" t="str">
        <f>IF(IF(AA111="En retard",1,IF(AA111="Action à définir",2,IF(AA111="Échéance manquante",3,IF(AA111="Échéance proche",4,IF(AA111="À réévaluer",5,0)))))=0,"",IF(AA111="En retard",1,IF(AA111="Action à définir",2,IF(AA111="Échéance manquante",3,IF(AA111="Échéance proche",4,IF(AA111="À réévaluer",5,0)))))*100000000+IF(N(Q111)&gt;0,Q111,99999)*1000+ROW())</f>
        <v/>
      </c>
      <c r="AF111" s="59" t="str">
        <f>IF(X111&lt;&gt;"",X111,L111)</f>
        <v/>
      </c>
      <c r="AG111" s="59" t="str">
        <f>IF(X111&lt;&gt;"",Y111,IF(L111&lt;&gt;"",M111,""))</f>
        <v/>
      </c>
      <c r="AH111" s="59" t="str">
        <f>IF(L111="","",IF(X111&lt;&gt;"",U111,F111))</f>
        <v/>
      </c>
      <c r="AI111" s="59" t="str">
        <f>IF(L111="","",IF(X111&lt;&gt;"",V111,H111))</f>
        <v/>
      </c>
    </row>
    <row r="112" ht="30" customHeight="1">
      <c r="A112" s="50" t="n"/>
      <c r="B112" s="51" t="n"/>
      <c r="C112" s="51" t="n"/>
      <c r="D112" s="51" t="n"/>
      <c r="E112" s="51" t="n"/>
      <c r="F112" s="52" t="n"/>
      <c r="G112" s="51" t="n"/>
      <c r="H112" s="52" t="n"/>
      <c r="I112" s="51" t="n"/>
      <c r="J112" s="51" t="n"/>
      <c r="K112" s="52" t="n"/>
      <c r="L112" s="53" t="str">
        <f>IF(AND(IF(ISNUMBER(F112),AND(F112&gt;=1,F112&lt;=10,F112=INT(F112)),FALSE),IF(ISNUMBER(H112),AND(H112&gt;=1,H112&lt;=10,H112=INT(H112)),FALSE),IF(ISNUMBER(K112),AND(K112&gt;=1,K112&lt;=10,K112=INT(K112)),FALSE)),F112*H112*K112,"")</f>
        <v/>
      </c>
      <c r="M112" s="54" t="str">
        <f>IF(L112="",IF(D112="","","À coter"),IF(OR(F112&gt;=p_gmin,L112&gt;=p_ipr_crit),"Critique",IF(L112&gt;=p_ipr_act,"Élevée",IF(L112&gt;=p_ipr_watch,"Moyenne","Faible"))))</f>
        <v/>
      </c>
      <c r="N112" s="54" t="str">
        <f>IF(OR(M112="",M112="À coter"),"",IF(OR(M112="Critique",M112="Élevée"),"Oui","Non"))</f>
        <v/>
      </c>
      <c r="O112" s="51" t="n"/>
      <c r="P112" s="51" t="n"/>
      <c r="Q112" s="55" t="n"/>
      <c r="R112" s="50" t="n"/>
      <c r="S112" s="55" t="n"/>
      <c r="T112" s="56" t="n"/>
      <c r="U112" s="52" t="n"/>
      <c r="V112" s="52" t="n"/>
      <c r="W112" s="52" t="n"/>
      <c r="X112" s="53" t="str">
        <f>IF(AND(L112&lt;&gt;"",IF(ISNUMBER(U112),AND(U112&gt;=1,U112&lt;=10,U112=INT(U112)),FALSE),IF(ISNUMBER(V112),AND(V112&gt;=1,V112&lt;=10,V112=INT(V112)),FALSE),IF(ISNUMBER(W112),AND(W112&gt;=1,W112&lt;=10,W112=INT(W112)),FALSE)),U112*V112*W112,"")</f>
        <v/>
      </c>
      <c r="Y112" s="54" t="str">
        <f>IF(X112="","",IF(OR(U112&gt;=p_gmin,X112&gt;=p_ipr_crit),"Critique",IF(X112&gt;=p_ipr_act,"Élevée",IF(X112&gt;=p_ipr_watch,"Moyenne","Faible"))))</f>
        <v/>
      </c>
      <c r="Z112" s="57" t="str">
        <f>IF(X112="","",(L112-X112)/L112)</f>
        <v/>
      </c>
      <c r="AA112" s="54" t="str">
        <f>IF(AND(D112="",O112=""),"",IF(O112="",IF(N112="Oui","Action à définir",IF(N112="Non","Sans action","")),IF(R112="Annulée","Annulée",IF(R112="Réalisée",IF(X112="","À réévaluer","Réalisée"),IF(N(Q112)=0,"Échéance manquante",IF(Q112&lt;p_today,"En retard",IF(Q112-p_today&lt;=p_alert,"Échéance proche","Dans les délais")))))))</f>
        <v/>
      </c>
      <c r="AB112" s="58" t="str">
        <f>IF(AND(A112="",B112="",D112="",F112="",H112="",K112="",O112=""),"",IF(D112="","Mode de défaillance manquant",IF(AND(A112&lt;&gt;"",COUNTIF(am_num,A112)&gt;1),"N° en double",IF(F112="","Gravité G manquante",IF(NOT(IF(ISNUMBER(F112),AND(F112&gt;=1,F112&lt;=10,F112=INT(F112)),FALSE)),"G : entier de 1 à 10",IF(H112="","Occurrence O manquante",IF(NOT(IF(ISNUMBER(H112),AND(H112&gt;=1,H112&lt;=10,H112=INT(H112)),FALSE)),"O : entier de 1 à 10",IF(K112="","Détection D manquante",IF(NOT(IF(ISNUMBER(K112),AND(K112&gt;=1,K112&lt;=10,K112=INT(K112)),FALSE)),"D : entier de 1 à 10",IF(G112="","Cause manquante",IF(AND(O112&lt;&gt;"",P112=""),"Responsable manquant",IF(AND(R112&lt;&gt;"",O112=""),"Statut sans action",IF(AND(R112="Réalisée",N(S112)=0),"Date de réalisation manquante",IF(AND(T112&lt;&gt;"",IF(ISNUMBER(T112),T112&lt;0,TRUE)),"Coût invalide",IF(AND(COUNTBLANK(U112:W112)&gt;0,COUNTBLANK(U112:W112)&lt;3),"Cotation après action incomplète",IF(AND(COUNTBLANK(U112:W112)=0,X112=""),"G', O', D' : entiers de 1 à 10",IF(AND(X112&lt;&gt;"",X112&gt;L112),"IPR après action plus élevé","OK")))))))))))))))))</f>
        <v/>
      </c>
      <c r="AC112" s="59" t="str">
        <f>IF(OR(AA112="En retard",AA112="Échéance proche",AA112="Dans les délais",AA112="Échéance manquante",AA112="Action à définir",AA112="À réévaluer"),IF(OR(plan_who="",P112=plan_who),IF(N(Q112)&gt;0,Q112,99999)*1000+ROW(),""),"")</f>
        <v/>
      </c>
      <c r="AD112" s="59" t="str">
        <f>IF(L112="","",L112*1000+1000-ROW())</f>
        <v/>
      </c>
      <c r="AE112" s="59" t="str">
        <f>IF(IF(AA112="En retard",1,IF(AA112="Action à définir",2,IF(AA112="Échéance manquante",3,IF(AA112="Échéance proche",4,IF(AA112="À réévaluer",5,0)))))=0,"",IF(AA112="En retard",1,IF(AA112="Action à définir",2,IF(AA112="Échéance manquante",3,IF(AA112="Échéance proche",4,IF(AA112="À réévaluer",5,0)))))*100000000+IF(N(Q112)&gt;0,Q112,99999)*1000+ROW())</f>
        <v/>
      </c>
      <c r="AF112" s="59" t="str">
        <f>IF(X112&lt;&gt;"",X112,L112)</f>
        <v/>
      </c>
      <c r="AG112" s="59" t="str">
        <f>IF(X112&lt;&gt;"",Y112,IF(L112&lt;&gt;"",M112,""))</f>
        <v/>
      </c>
      <c r="AH112" s="59" t="str">
        <f>IF(L112="","",IF(X112&lt;&gt;"",U112,F112))</f>
        <v/>
      </c>
      <c r="AI112" s="59" t="str">
        <f>IF(L112="","",IF(X112&lt;&gt;"",V112,H112))</f>
        <v/>
      </c>
    </row>
    <row r="113" ht="30" customHeight="1">
      <c r="A113" s="50" t="n"/>
      <c r="B113" s="51" t="n"/>
      <c r="C113" s="51" t="n"/>
      <c r="D113" s="51" t="n"/>
      <c r="E113" s="51" t="n"/>
      <c r="F113" s="52" t="n"/>
      <c r="G113" s="51" t="n"/>
      <c r="H113" s="52" t="n"/>
      <c r="I113" s="51" t="n"/>
      <c r="J113" s="51" t="n"/>
      <c r="K113" s="52" t="n"/>
      <c r="L113" s="53" t="str">
        <f>IF(AND(IF(ISNUMBER(F113),AND(F113&gt;=1,F113&lt;=10,F113=INT(F113)),FALSE),IF(ISNUMBER(H113),AND(H113&gt;=1,H113&lt;=10,H113=INT(H113)),FALSE),IF(ISNUMBER(K113),AND(K113&gt;=1,K113&lt;=10,K113=INT(K113)),FALSE)),F113*H113*K113,"")</f>
        <v/>
      </c>
      <c r="M113" s="54" t="str">
        <f>IF(L113="",IF(D113="","","À coter"),IF(OR(F113&gt;=p_gmin,L113&gt;=p_ipr_crit),"Critique",IF(L113&gt;=p_ipr_act,"Élevée",IF(L113&gt;=p_ipr_watch,"Moyenne","Faible"))))</f>
        <v/>
      </c>
      <c r="N113" s="54" t="str">
        <f>IF(OR(M113="",M113="À coter"),"",IF(OR(M113="Critique",M113="Élevée"),"Oui","Non"))</f>
        <v/>
      </c>
      <c r="O113" s="51" t="n"/>
      <c r="P113" s="51" t="n"/>
      <c r="Q113" s="55" t="n"/>
      <c r="R113" s="50" t="n"/>
      <c r="S113" s="55" t="n"/>
      <c r="T113" s="56" t="n"/>
      <c r="U113" s="52" t="n"/>
      <c r="V113" s="52" t="n"/>
      <c r="W113" s="52" t="n"/>
      <c r="X113" s="53" t="str">
        <f>IF(AND(L113&lt;&gt;"",IF(ISNUMBER(U113),AND(U113&gt;=1,U113&lt;=10,U113=INT(U113)),FALSE),IF(ISNUMBER(V113),AND(V113&gt;=1,V113&lt;=10,V113=INT(V113)),FALSE),IF(ISNUMBER(W113),AND(W113&gt;=1,W113&lt;=10,W113=INT(W113)),FALSE)),U113*V113*W113,"")</f>
        <v/>
      </c>
      <c r="Y113" s="54" t="str">
        <f>IF(X113="","",IF(OR(U113&gt;=p_gmin,X113&gt;=p_ipr_crit),"Critique",IF(X113&gt;=p_ipr_act,"Élevée",IF(X113&gt;=p_ipr_watch,"Moyenne","Faible"))))</f>
        <v/>
      </c>
      <c r="Z113" s="57" t="str">
        <f>IF(X113="","",(L113-X113)/L113)</f>
        <v/>
      </c>
      <c r="AA113" s="54" t="str">
        <f>IF(AND(D113="",O113=""),"",IF(O113="",IF(N113="Oui","Action à définir",IF(N113="Non","Sans action","")),IF(R113="Annulée","Annulée",IF(R113="Réalisée",IF(X113="","À réévaluer","Réalisée"),IF(N(Q113)=0,"Échéance manquante",IF(Q113&lt;p_today,"En retard",IF(Q113-p_today&lt;=p_alert,"Échéance proche","Dans les délais")))))))</f>
        <v/>
      </c>
      <c r="AB113" s="58" t="str">
        <f>IF(AND(A113="",B113="",D113="",F113="",H113="",K113="",O113=""),"",IF(D113="","Mode de défaillance manquant",IF(AND(A113&lt;&gt;"",COUNTIF(am_num,A113)&gt;1),"N° en double",IF(F113="","Gravité G manquante",IF(NOT(IF(ISNUMBER(F113),AND(F113&gt;=1,F113&lt;=10,F113=INT(F113)),FALSE)),"G : entier de 1 à 10",IF(H113="","Occurrence O manquante",IF(NOT(IF(ISNUMBER(H113),AND(H113&gt;=1,H113&lt;=10,H113=INT(H113)),FALSE)),"O : entier de 1 à 10",IF(K113="","Détection D manquante",IF(NOT(IF(ISNUMBER(K113),AND(K113&gt;=1,K113&lt;=10,K113=INT(K113)),FALSE)),"D : entier de 1 à 10",IF(G113="","Cause manquante",IF(AND(O113&lt;&gt;"",P113=""),"Responsable manquant",IF(AND(R113&lt;&gt;"",O113=""),"Statut sans action",IF(AND(R113="Réalisée",N(S113)=0),"Date de réalisation manquante",IF(AND(T113&lt;&gt;"",IF(ISNUMBER(T113),T113&lt;0,TRUE)),"Coût invalide",IF(AND(COUNTBLANK(U113:W113)&gt;0,COUNTBLANK(U113:W113)&lt;3),"Cotation après action incomplète",IF(AND(COUNTBLANK(U113:W113)=0,X113=""),"G', O', D' : entiers de 1 à 10",IF(AND(X113&lt;&gt;"",X113&gt;L113),"IPR après action plus élevé","OK")))))))))))))))))</f>
        <v/>
      </c>
      <c r="AC113" s="59" t="str">
        <f>IF(OR(AA113="En retard",AA113="Échéance proche",AA113="Dans les délais",AA113="Échéance manquante",AA113="Action à définir",AA113="À réévaluer"),IF(OR(plan_who="",P113=plan_who),IF(N(Q113)&gt;0,Q113,99999)*1000+ROW(),""),"")</f>
        <v/>
      </c>
      <c r="AD113" s="59" t="str">
        <f>IF(L113="","",L113*1000+1000-ROW())</f>
        <v/>
      </c>
      <c r="AE113" s="59" t="str">
        <f>IF(IF(AA113="En retard",1,IF(AA113="Action à définir",2,IF(AA113="Échéance manquante",3,IF(AA113="Échéance proche",4,IF(AA113="À réévaluer",5,0)))))=0,"",IF(AA113="En retard",1,IF(AA113="Action à définir",2,IF(AA113="Échéance manquante",3,IF(AA113="Échéance proche",4,IF(AA113="À réévaluer",5,0)))))*100000000+IF(N(Q113)&gt;0,Q113,99999)*1000+ROW())</f>
        <v/>
      </c>
      <c r="AF113" s="59" t="str">
        <f>IF(X113&lt;&gt;"",X113,L113)</f>
        <v/>
      </c>
      <c r="AG113" s="59" t="str">
        <f>IF(X113&lt;&gt;"",Y113,IF(L113&lt;&gt;"",M113,""))</f>
        <v/>
      </c>
      <c r="AH113" s="59" t="str">
        <f>IF(L113="","",IF(X113&lt;&gt;"",U113,F113))</f>
        <v/>
      </c>
      <c r="AI113" s="59" t="str">
        <f>IF(L113="","",IF(X113&lt;&gt;"",V113,H113))</f>
        <v/>
      </c>
    </row>
    <row r="114" ht="30" customHeight="1">
      <c r="A114" s="50" t="n"/>
      <c r="B114" s="51" t="n"/>
      <c r="C114" s="51" t="n"/>
      <c r="D114" s="51" t="n"/>
      <c r="E114" s="51" t="n"/>
      <c r="F114" s="52" t="n"/>
      <c r="G114" s="51" t="n"/>
      <c r="H114" s="52" t="n"/>
      <c r="I114" s="51" t="n"/>
      <c r="J114" s="51" t="n"/>
      <c r="K114" s="52" t="n"/>
      <c r="L114" s="53" t="str">
        <f>IF(AND(IF(ISNUMBER(F114),AND(F114&gt;=1,F114&lt;=10,F114=INT(F114)),FALSE),IF(ISNUMBER(H114),AND(H114&gt;=1,H114&lt;=10,H114=INT(H114)),FALSE),IF(ISNUMBER(K114),AND(K114&gt;=1,K114&lt;=10,K114=INT(K114)),FALSE)),F114*H114*K114,"")</f>
        <v/>
      </c>
      <c r="M114" s="54" t="str">
        <f>IF(L114="",IF(D114="","","À coter"),IF(OR(F114&gt;=p_gmin,L114&gt;=p_ipr_crit),"Critique",IF(L114&gt;=p_ipr_act,"Élevée",IF(L114&gt;=p_ipr_watch,"Moyenne","Faible"))))</f>
        <v/>
      </c>
      <c r="N114" s="54" t="str">
        <f>IF(OR(M114="",M114="À coter"),"",IF(OR(M114="Critique",M114="Élevée"),"Oui","Non"))</f>
        <v/>
      </c>
      <c r="O114" s="51" t="n"/>
      <c r="P114" s="51" t="n"/>
      <c r="Q114" s="55" t="n"/>
      <c r="R114" s="50" t="n"/>
      <c r="S114" s="55" t="n"/>
      <c r="T114" s="56" t="n"/>
      <c r="U114" s="52" t="n"/>
      <c r="V114" s="52" t="n"/>
      <c r="W114" s="52" t="n"/>
      <c r="X114" s="53" t="str">
        <f>IF(AND(L114&lt;&gt;"",IF(ISNUMBER(U114),AND(U114&gt;=1,U114&lt;=10,U114=INT(U114)),FALSE),IF(ISNUMBER(V114),AND(V114&gt;=1,V114&lt;=10,V114=INT(V114)),FALSE),IF(ISNUMBER(W114),AND(W114&gt;=1,W114&lt;=10,W114=INT(W114)),FALSE)),U114*V114*W114,"")</f>
        <v/>
      </c>
      <c r="Y114" s="54" t="str">
        <f>IF(X114="","",IF(OR(U114&gt;=p_gmin,X114&gt;=p_ipr_crit),"Critique",IF(X114&gt;=p_ipr_act,"Élevée",IF(X114&gt;=p_ipr_watch,"Moyenne","Faible"))))</f>
        <v/>
      </c>
      <c r="Z114" s="57" t="str">
        <f>IF(X114="","",(L114-X114)/L114)</f>
        <v/>
      </c>
      <c r="AA114" s="54" t="str">
        <f>IF(AND(D114="",O114=""),"",IF(O114="",IF(N114="Oui","Action à définir",IF(N114="Non","Sans action","")),IF(R114="Annulée","Annulée",IF(R114="Réalisée",IF(X114="","À réévaluer","Réalisée"),IF(N(Q114)=0,"Échéance manquante",IF(Q114&lt;p_today,"En retard",IF(Q114-p_today&lt;=p_alert,"Échéance proche","Dans les délais")))))))</f>
        <v/>
      </c>
      <c r="AB114" s="58" t="str">
        <f>IF(AND(A114="",B114="",D114="",F114="",H114="",K114="",O114=""),"",IF(D114="","Mode de défaillance manquant",IF(AND(A114&lt;&gt;"",COUNTIF(am_num,A114)&gt;1),"N° en double",IF(F114="","Gravité G manquante",IF(NOT(IF(ISNUMBER(F114),AND(F114&gt;=1,F114&lt;=10,F114=INT(F114)),FALSE)),"G : entier de 1 à 10",IF(H114="","Occurrence O manquante",IF(NOT(IF(ISNUMBER(H114),AND(H114&gt;=1,H114&lt;=10,H114=INT(H114)),FALSE)),"O : entier de 1 à 10",IF(K114="","Détection D manquante",IF(NOT(IF(ISNUMBER(K114),AND(K114&gt;=1,K114&lt;=10,K114=INT(K114)),FALSE)),"D : entier de 1 à 10",IF(G114="","Cause manquante",IF(AND(O114&lt;&gt;"",P114=""),"Responsable manquant",IF(AND(R114&lt;&gt;"",O114=""),"Statut sans action",IF(AND(R114="Réalisée",N(S114)=0),"Date de réalisation manquante",IF(AND(T114&lt;&gt;"",IF(ISNUMBER(T114),T114&lt;0,TRUE)),"Coût invalide",IF(AND(COUNTBLANK(U114:W114)&gt;0,COUNTBLANK(U114:W114)&lt;3),"Cotation après action incomplète",IF(AND(COUNTBLANK(U114:W114)=0,X114=""),"G', O', D' : entiers de 1 à 10",IF(AND(X114&lt;&gt;"",X114&gt;L114),"IPR après action plus élevé","OK")))))))))))))))))</f>
        <v/>
      </c>
      <c r="AC114" s="59" t="str">
        <f>IF(OR(AA114="En retard",AA114="Échéance proche",AA114="Dans les délais",AA114="Échéance manquante",AA114="Action à définir",AA114="À réévaluer"),IF(OR(plan_who="",P114=plan_who),IF(N(Q114)&gt;0,Q114,99999)*1000+ROW(),""),"")</f>
        <v/>
      </c>
      <c r="AD114" s="59" t="str">
        <f>IF(L114="","",L114*1000+1000-ROW())</f>
        <v/>
      </c>
      <c r="AE114" s="59" t="str">
        <f>IF(IF(AA114="En retard",1,IF(AA114="Action à définir",2,IF(AA114="Échéance manquante",3,IF(AA114="Échéance proche",4,IF(AA114="À réévaluer",5,0)))))=0,"",IF(AA114="En retard",1,IF(AA114="Action à définir",2,IF(AA114="Échéance manquante",3,IF(AA114="Échéance proche",4,IF(AA114="À réévaluer",5,0)))))*100000000+IF(N(Q114)&gt;0,Q114,99999)*1000+ROW())</f>
        <v/>
      </c>
      <c r="AF114" s="59" t="str">
        <f>IF(X114&lt;&gt;"",X114,L114)</f>
        <v/>
      </c>
      <c r="AG114" s="59" t="str">
        <f>IF(X114&lt;&gt;"",Y114,IF(L114&lt;&gt;"",M114,""))</f>
        <v/>
      </c>
      <c r="AH114" s="59" t="str">
        <f>IF(L114="","",IF(X114&lt;&gt;"",U114,F114))</f>
        <v/>
      </c>
      <c r="AI114" s="59" t="str">
        <f>IF(L114="","",IF(X114&lt;&gt;"",V114,H114))</f>
        <v/>
      </c>
    </row>
    <row r="115" ht="30" customHeight="1">
      <c r="A115" s="50" t="n"/>
      <c r="B115" s="51" t="n"/>
      <c r="C115" s="51" t="n"/>
      <c r="D115" s="51" t="n"/>
      <c r="E115" s="51" t="n"/>
      <c r="F115" s="52" t="n"/>
      <c r="G115" s="51" t="n"/>
      <c r="H115" s="52" t="n"/>
      <c r="I115" s="51" t="n"/>
      <c r="J115" s="51" t="n"/>
      <c r="K115" s="52" t="n"/>
      <c r="L115" s="53" t="str">
        <f>IF(AND(IF(ISNUMBER(F115),AND(F115&gt;=1,F115&lt;=10,F115=INT(F115)),FALSE),IF(ISNUMBER(H115),AND(H115&gt;=1,H115&lt;=10,H115=INT(H115)),FALSE),IF(ISNUMBER(K115),AND(K115&gt;=1,K115&lt;=10,K115=INT(K115)),FALSE)),F115*H115*K115,"")</f>
        <v/>
      </c>
      <c r="M115" s="54" t="str">
        <f>IF(L115="",IF(D115="","","À coter"),IF(OR(F115&gt;=p_gmin,L115&gt;=p_ipr_crit),"Critique",IF(L115&gt;=p_ipr_act,"Élevée",IF(L115&gt;=p_ipr_watch,"Moyenne","Faible"))))</f>
        <v/>
      </c>
      <c r="N115" s="54" t="str">
        <f>IF(OR(M115="",M115="À coter"),"",IF(OR(M115="Critique",M115="Élevée"),"Oui","Non"))</f>
        <v/>
      </c>
      <c r="O115" s="51" t="n"/>
      <c r="P115" s="51" t="n"/>
      <c r="Q115" s="55" t="n"/>
      <c r="R115" s="50" t="n"/>
      <c r="S115" s="55" t="n"/>
      <c r="T115" s="56" t="n"/>
      <c r="U115" s="52" t="n"/>
      <c r="V115" s="52" t="n"/>
      <c r="W115" s="52" t="n"/>
      <c r="X115" s="53" t="str">
        <f>IF(AND(L115&lt;&gt;"",IF(ISNUMBER(U115),AND(U115&gt;=1,U115&lt;=10,U115=INT(U115)),FALSE),IF(ISNUMBER(V115),AND(V115&gt;=1,V115&lt;=10,V115=INT(V115)),FALSE),IF(ISNUMBER(W115),AND(W115&gt;=1,W115&lt;=10,W115=INT(W115)),FALSE)),U115*V115*W115,"")</f>
        <v/>
      </c>
      <c r="Y115" s="54" t="str">
        <f>IF(X115="","",IF(OR(U115&gt;=p_gmin,X115&gt;=p_ipr_crit),"Critique",IF(X115&gt;=p_ipr_act,"Élevée",IF(X115&gt;=p_ipr_watch,"Moyenne","Faible"))))</f>
        <v/>
      </c>
      <c r="Z115" s="57" t="str">
        <f>IF(X115="","",(L115-X115)/L115)</f>
        <v/>
      </c>
      <c r="AA115" s="54" t="str">
        <f>IF(AND(D115="",O115=""),"",IF(O115="",IF(N115="Oui","Action à définir",IF(N115="Non","Sans action","")),IF(R115="Annulée","Annulée",IF(R115="Réalisée",IF(X115="","À réévaluer","Réalisée"),IF(N(Q115)=0,"Échéance manquante",IF(Q115&lt;p_today,"En retard",IF(Q115-p_today&lt;=p_alert,"Échéance proche","Dans les délais")))))))</f>
        <v/>
      </c>
      <c r="AB115" s="58" t="str">
        <f>IF(AND(A115="",B115="",D115="",F115="",H115="",K115="",O115=""),"",IF(D115="","Mode de défaillance manquant",IF(AND(A115&lt;&gt;"",COUNTIF(am_num,A115)&gt;1),"N° en double",IF(F115="","Gravité G manquante",IF(NOT(IF(ISNUMBER(F115),AND(F115&gt;=1,F115&lt;=10,F115=INT(F115)),FALSE)),"G : entier de 1 à 10",IF(H115="","Occurrence O manquante",IF(NOT(IF(ISNUMBER(H115),AND(H115&gt;=1,H115&lt;=10,H115=INT(H115)),FALSE)),"O : entier de 1 à 10",IF(K115="","Détection D manquante",IF(NOT(IF(ISNUMBER(K115),AND(K115&gt;=1,K115&lt;=10,K115=INT(K115)),FALSE)),"D : entier de 1 à 10",IF(G115="","Cause manquante",IF(AND(O115&lt;&gt;"",P115=""),"Responsable manquant",IF(AND(R115&lt;&gt;"",O115=""),"Statut sans action",IF(AND(R115="Réalisée",N(S115)=0),"Date de réalisation manquante",IF(AND(T115&lt;&gt;"",IF(ISNUMBER(T115),T115&lt;0,TRUE)),"Coût invalide",IF(AND(COUNTBLANK(U115:W115)&gt;0,COUNTBLANK(U115:W115)&lt;3),"Cotation après action incomplète",IF(AND(COUNTBLANK(U115:W115)=0,X115=""),"G', O', D' : entiers de 1 à 10",IF(AND(X115&lt;&gt;"",X115&gt;L115),"IPR après action plus élevé","OK")))))))))))))))))</f>
        <v/>
      </c>
      <c r="AC115" s="59" t="str">
        <f>IF(OR(AA115="En retard",AA115="Échéance proche",AA115="Dans les délais",AA115="Échéance manquante",AA115="Action à définir",AA115="À réévaluer"),IF(OR(plan_who="",P115=plan_who),IF(N(Q115)&gt;0,Q115,99999)*1000+ROW(),""),"")</f>
        <v/>
      </c>
      <c r="AD115" s="59" t="str">
        <f>IF(L115="","",L115*1000+1000-ROW())</f>
        <v/>
      </c>
      <c r="AE115" s="59" t="str">
        <f>IF(IF(AA115="En retard",1,IF(AA115="Action à définir",2,IF(AA115="Échéance manquante",3,IF(AA115="Échéance proche",4,IF(AA115="À réévaluer",5,0)))))=0,"",IF(AA115="En retard",1,IF(AA115="Action à définir",2,IF(AA115="Échéance manquante",3,IF(AA115="Échéance proche",4,IF(AA115="À réévaluer",5,0)))))*100000000+IF(N(Q115)&gt;0,Q115,99999)*1000+ROW())</f>
        <v/>
      </c>
      <c r="AF115" s="59" t="str">
        <f>IF(X115&lt;&gt;"",X115,L115)</f>
        <v/>
      </c>
      <c r="AG115" s="59" t="str">
        <f>IF(X115&lt;&gt;"",Y115,IF(L115&lt;&gt;"",M115,""))</f>
        <v/>
      </c>
      <c r="AH115" s="59" t="str">
        <f>IF(L115="","",IF(X115&lt;&gt;"",U115,F115))</f>
        <v/>
      </c>
      <c r="AI115" s="59" t="str">
        <f>IF(L115="","",IF(X115&lt;&gt;"",V115,H115))</f>
        <v/>
      </c>
    </row>
    <row r="116" ht="30" customHeight="1">
      <c r="A116" s="50" t="n"/>
      <c r="B116" s="51" t="n"/>
      <c r="C116" s="51" t="n"/>
      <c r="D116" s="51" t="n"/>
      <c r="E116" s="51" t="n"/>
      <c r="F116" s="52" t="n"/>
      <c r="G116" s="51" t="n"/>
      <c r="H116" s="52" t="n"/>
      <c r="I116" s="51" t="n"/>
      <c r="J116" s="51" t="n"/>
      <c r="K116" s="52" t="n"/>
      <c r="L116" s="53" t="str">
        <f>IF(AND(IF(ISNUMBER(F116),AND(F116&gt;=1,F116&lt;=10,F116=INT(F116)),FALSE),IF(ISNUMBER(H116),AND(H116&gt;=1,H116&lt;=10,H116=INT(H116)),FALSE),IF(ISNUMBER(K116),AND(K116&gt;=1,K116&lt;=10,K116=INT(K116)),FALSE)),F116*H116*K116,"")</f>
        <v/>
      </c>
      <c r="M116" s="54" t="str">
        <f>IF(L116="",IF(D116="","","À coter"),IF(OR(F116&gt;=p_gmin,L116&gt;=p_ipr_crit),"Critique",IF(L116&gt;=p_ipr_act,"Élevée",IF(L116&gt;=p_ipr_watch,"Moyenne","Faible"))))</f>
        <v/>
      </c>
      <c r="N116" s="54" t="str">
        <f>IF(OR(M116="",M116="À coter"),"",IF(OR(M116="Critique",M116="Élevée"),"Oui","Non"))</f>
        <v/>
      </c>
      <c r="O116" s="51" t="n"/>
      <c r="P116" s="51" t="n"/>
      <c r="Q116" s="55" t="n"/>
      <c r="R116" s="50" t="n"/>
      <c r="S116" s="55" t="n"/>
      <c r="T116" s="56" t="n"/>
      <c r="U116" s="52" t="n"/>
      <c r="V116" s="52" t="n"/>
      <c r="W116" s="52" t="n"/>
      <c r="X116" s="53" t="str">
        <f>IF(AND(L116&lt;&gt;"",IF(ISNUMBER(U116),AND(U116&gt;=1,U116&lt;=10,U116=INT(U116)),FALSE),IF(ISNUMBER(V116),AND(V116&gt;=1,V116&lt;=10,V116=INT(V116)),FALSE),IF(ISNUMBER(W116),AND(W116&gt;=1,W116&lt;=10,W116=INT(W116)),FALSE)),U116*V116*W116,"")</f>
        <v/>
      </c>
      <c r="Y116" s="54" t="str">
        <f>IF(X116="","",IF(OR(U116&gt;=p_gmin,X116&gt;=p_ipr_crit),"Critique",IF(X116&gt;=p_ipr_act,"Élevée",IF(X116&gt;=p_ipr_watch,"Moyenne","Faible"))))</f>
        <v/>
      </c>
      <c r="Z116" s="57" t="str">
        <f>IF(X116="","",(L116-X116)/L116)</f>
        <v/>
      </c>
      <c r="AA116" s="54" t="str">
        <f>IF(AND(D116="",O116=""),"",IF(O116="",IF(N116="Oui","Action à définir",IF(N116="Non","Sans action","")),IF(R116="Annulée","Annulée",IF(R116="Réalisée",IF(X116="","À réévaluer","Réalisée"),IF(N(Q116)=0,"Échéance manquante",IF(Q116&lt;p_today,"En retard",IF(Q116-p_today&lt;=p_alert,"Échéance proche","Dans les délais")))))))</f>
        <v/>
      </c>
      <c r="AB116" s="58" t="str">
        <f>IF(AND(A116="",B116="",D116="",F116="",H116="",K116="",O116=""),"",IF(D116="","Mode de défaillance manquant",IF(AND(A116&lt;&gt;"",COUNTIF(am_num,A116)&gt;1),"N° en double",IF(F116="","Gravité G manquante",IF(NOT(IF(ISNUMBER(F116),AND(F116&gt;=1,F116&lt;=10,F116=INT(F116)),FALSE)),"G : entier de 1 à 10",IF(H116="","Occurrence O manquante",IF(NOT(IF(ISNUMBER(H116),AND(H116&gt;=1,H116&lt;=10,H116=INT(H116)),FALSE)),"O : entier de 1 à 10",IF(K116="","Détection D manquante",IF(NOT(IF(ISNUMBER(K116),AND(K116&gt;=1,K116&lt;=10,K116=INT(K116)),FALSE)),"D : entier de 1 à 10",IF(G116="","Cause manquante",IF(AND(O116&lt;&gt;"",P116=""),"Responsable manquant",IF(AND(R116&lt;&gt;"",O116=""),"Statut sans action",IF(AND(R116="Réalisée",N(S116)=0),"Date de réalisation manquante",IF(AND(T116&lt;&gt;"",IF(ISNUMBER(T116),T116&lt;0,TRUE)),"Coût invalide",IF(AND(COUNTBLANK(U116:W116)&gt;0,COUNTBLANK(U116:W116)&lt;3),"Cotation après action incomplète",IF(AND(COUNTBLANK(U116:W116)=0,X116=""),"G', O', D' : entiers de 1 à 10",IF(AND(X116&lt;&gt;"",X116&gt;L116),"IPR après action plus élevé","OK")))))))))))))))))</f>
        <v/>
      </c>
      <c r="AC116" s="59" t="str">
        <f>IF(OR(AA116="En retard",AA116="Échéance proche",AA116="Dans les délais",AA116="Échéance manquante",AA116="Action à définir",AA116="À réévaluer"),IF(OR(plan_who="",P116=plan_who),IF(N(Q116)&gt;0,Q116,99999)*1000+ROW(),""),"")</f>
        <v/>
      </c>
      <c r="AD116" s="59" t="str">
        <f>IF(L116="","",L116*1000+1000-ROW())</f>
        <v/>
      </c>
      <c r="AE116" s="59" t="str">
        <f>IF(IF(AA116="En retard",1,IF(AA116="Action à définir",2,IF(AA116="Échéance manquante",3,IF(AA116="Échéance proche",4,IF(AA116="À réévaluer",5,0)))))=0,"",IF(AA116="En retard",1,IF(AA116="Action à définir",2,IF(AA116="Échéance manquante",3,IF(AA116="Échéance proche",4,IF(AA116="À réévaluer",5,0)))))*100000000+IF(N(Q116)&gt;0,Q116,99999)*1000+ROW())</f>
        <v/>
      </c>
      <c r="AF116" s="59" t="str">
        <f>IF(X116&lt;&gt;"",X116,L116)</f>
        <v/>
      </c>
      <c r="AG116" s="59" t="str">
        <f>IF(X116&lt;&gt;"",Y116,IF(L116&lt;&gt;"",M116,""))</f>
        <v/>
      </c>
      <c r="AH116" s="59" t="str">
        <f>IF(L116="","",IF(X116&lt;&gt;"",U116,F116))</f>
        <v/>
      </c>
      <c r="AI116" s="59" t="str">
        <f>IF(L116="","",IF(X116&lt;&gt;"",V116,H116))</f>
        <v/>
      </c>
    </row>
    <row r="117" ht="30" customHeight="1">
      <c r="A117" s="50" t="n"/>
      <c r="B117" s="51" t="n"/>
      <c r="C117" s="51" t="n"/>
      <c r="D117" s="51" t="n"/>
      <c r="E117" s="51" t="n"/>
      <c r="F117" s="52" t="n"/>
      <c r="G117" s="51" t="n"/>
      <c r="H117" s="52" t="n"/>
      <c r="I117" s="51" t="n"/>
      <c r="J117" s="51" t="n"/>
      <c r="K117" s="52" t="n"/>
      <c r="L117" s="53" t="str">
        <f>IF(AND(IF(ISNUMBER(F117),AND(F117&gt;=1,F117&lt;=10,F117=INT(F117)),FALSE),IF(ISNUMBER(H117),AND(H117&gt;=1,H117&lt;=10,H117=INT(H117)),FALSE),IF(ISNUMBER(K117),AND(K117&gt;=1,K117&lt;=10,K117=INT(K117)),FALSE)),F117*H117*K117,"")</f>
        <v/>
      </c>
      <c r="M117" s="54" t="str">
        <f>IF(L117="",IF(D117="","","À coter"),IF(OR(F117&gt;=p_gmin,L117&gt;=p_ipr_crit),"Critique",IF(L117&gt;=p_ipr_act,"Élevée",IF(L117&gt;=p_ipr_watch,"Moyenne","Faible"))))</f>
        <v/>
      </c>
      <c r="N117" s="54" t="str">
        <f>IF(OR(M117="",M117="À coter"),"",IF(OR(M117="Critique",M117="Élevée"),"Oui","Non"))</f>
        <v/>
      </c>
      <c r="O117" s="51" t="n"/>
      <c r="P117" s="51" t="n"/>
      <c r="Q117" s="55" t="n"/>
      <c r="R117" s="50" t="n"/>
      <c r="S117" s="55" t="n"/>
      <c r="T117" s="56" t="n"/>
      <c r="U117" s="52" t="n"/>
      <c r="V117" s="52" t="n"/>
      <c r="W117" s="52" t="n"/>
      <c r="X117" s="53" t="str">
        <f>IF(AND(L117&lt;&gt;"",IF(ISNUMBER(U117),AND(U117&gt;=1,U117&lt;=10,U117=INT(U117)),FALSE),IF(ISNUMBER(V117),AND(V117&gt;=1,V117&lt;=10,V117=INT(V117)),FALSE),IF(ISNUMBER(W117),AND(W117&gt;=1,W117&lt;=10,W117=INT(W117)),FALSE)),U117*V117*W117,"")</f>
        <v/>
      </c>
      <c r="Y117" s="54" t="str">
        <f>IF(X117="","",IF(OR(U117&gt;=p_gmin,X117&gt;=p_ipr_crit),"Critique",IF(X117&gt;=p_ipr_act,"Élevée",IF(X117&gt;=p_ipr_watch,"Moyenne","Faible"))))</f>
        <v/>
      </c>
      <c r="Z117" s="57" t="str">
        <f>IF(X117="","",(L117-X117)/L117)</f>
        <v/>
      </c>
      <c r="AA117" s="54" t="str">
        <f>IF(AND(D117="",O117=""),"",IF(O117="",IF(N117="Oui","Action à définir",IF(N117="Non","Sans action","")),IF(R117="Annulée","Annulée",IF(R117="Réalisée",IF(X117="","À réévaluer","Réalisée"),IF(N(Q117)=0,"Échéance manquante",IF(Q117&lt;p_today,"En retard",IF(Q117-p_today&lt;=p_alert,"Échéance proche","Dans les délais")))))))</f>
        <v/>
      </c>
      <c r="AB117" s="58" t="str">
        <f>IF(AND(A117="",B117="",D117="",F117="",H117="",K117="",O117=""),"",IF(D117="","Mode de défaillance manquant",IF(AND(A117&lt;&gt;"",COUNTIF(am_num,A117)&gt;1),"N° en double",IF(F117="","Gravité G manquante",IF(NOT(IF(ISNUMBER(F117),AND(F117&gt;=1,F117&lt;=10,F117=INT(F117)),FALSE)),"G : entier de 1 à 10",IF(H117="","Occurrence O manquante",IF(NOT(IF(ISNUMBER(H117),AND(H117&gt;=1,H117&lt;=10,H117=INT(H117)),FALSE)),"O : entier de 1 à 10",IF(K117="","Détection D manquante",IF(NOT(IF(ISNUMBER(K117),AND(K117&gt;=1,K117&lt;=10,K117=INT(K117)),FALSE)),"D : entier de 1 à 10",IF(G117="","Cause manquante",IF(AND(O117&lt;&gt;"",P117=""),"Responsable manquant",IF(AND(R117&lt;&gt;"",O117=""),"Statut sans action",IF(AND(R117="Réalisée",N(S117)=0),"Date de réalisation manquante",IF(AND(T117&lt;&gt;"",IF(ISNUMBER(T117),T117&lt;0,TRUE)),"Coût invalide",IF(AND(COUNTBLANK(U117:W117)&gt;0,COUNTBLANK(U117:W117)&lt;3),"Cotation après action incomplète",IF(AND(COUNTBLANK(U117:W117)=0,X117=""),"G', O', D' : entiers de 1 à 10",IF(AND(X117&lt;&gt;"",X117&gt;L117),"IPR après action plus élevé","OK")))))))))))))))))</f>
        <v/>
      </c>
      <c r="AC117" s="59" t="str">
        <f>IF(OR(AA117="En retard",AA117="Échéance proche",AA117="Dans les délais",AA117="Échéance manquante",AA117="Action à définir",AA117="À réévaluer"),IF(OR(plan_who="",P117=plan_who),IF(N(Q117)&gt;0,Q117,99999)*1000+ROW(),""),"")</f>
        <v/>
      </c>
      <c r="AD117" s="59" t="str">
        <f>IF(L117="","",L117*1000+1000-ROW())</f>
        <v/>
      </c>
      <c r="AE117" s="59" t="str">
        <f>IF(IF(AA117="En retard",1,IF(AA117="Action à définir",2,IF(AA117="Échéance manquante",3,IF(AA117="Échéance proche",4,IF(AA117="À réévaluer",5,0)))))=0,"",IF(AA117="En retard",1,IF(AA117="Action à définir",2,IF(AA117="Échéance manquante",3,IF(AA117="Échéance proche",4,IF(AA117="À réévaluer",5,0)))))*100000000+IF(N(Q117)&gt;0,Q117,99999)*1000+ROW())</f>
        <v/>
      </c>
      <c r="AF117" s="59" t="str">
        <f>IF(X117&lt;&gt;"",X117,L117)</f>
        <v/>
      </c>
      <c r="AG117" s="59" t="str">
        <f>IF(X117&lt;&gt;"",Y117,IF(L117&lt;&gt;"",M117,""))</f>
        <v/>
      </c>
      <c r="AH117" s="59" t="str">
        <f>IF(L117="","",IF(X117&lt;&gt;"",U117,F117))</f>
        <v/>
      </c>
      <c r="AI117" s="59" t="str">
        <f>IF(L117="","",IF(X117&lt;&gt;"",V117,H117))</f>
        <v/>
      </c>
    </row>
    <row r="118" ht="30" customHeight="1">
      <c r="A118" s="50" t="n"/>
      <c r="B118" s="51" t="n"/>
      <c r="C118" s="51" t="n"/>
      <c r="D118" s="51" t="n"/>
      <c r="E118" s="51" t="n"/>
      <c r="F118" s="52" t="n"/>
      <c r="G118" s="51" t="n"/>
      <c r="H118" s="52" t="n"/>
      <c r="I118" s="51" t="n"/>
      <c r="J118" s="51" t="n"/>
      <c r="K118" s="52" t="n"/>
      <c r="L118" s="53" t="str">
        <f>IF(AND(IF(ISNUMBER(F118),AND(F118&gt;=1,F118&lt;=10,F118=INT(F118)),FALSE),IF(ISNUMBER(H118),AND(H118&gt;=1,H118&lt;=10,H118=INT(H118)),FALSE),IF(ISNUMBER(K118),AND(K118&gt;=1,K118&lt;=10,K118=INT(K118)),FALSE)),F118*H118*K118,"")</f>
        <v/>
      </c>
      <c r="M118" s="54" t="str">
        <f>IF(L118="",IF(D118="","","À coter"),IF(OR(F118&gt;=p_gmin,L118&gt;=p_ipr_crit),"Critique",IF(L118&gt;=p_ipr_act,"Élevée",IF(L118&gt;=p_ipr_watch,"Moyenne","Faible"))))</f>
        <v/>
      </c>
      <c r="N118" s="54" t="str">
        <f>IF(OR(M118="",M118="À coter"),"",IF(OR(M118="Critique",M118="Élevée"),"Oui","Non"))</f>
        <v/>
      </c>
      <c r="O118" s="51" t="n"/>
      <c r="P118" s="51" t="n"/>
      <c r="Q118" s="55" t="n"/>
      <c r="R118" s="50" t="n"/>
      <c r="S118" s="55" t="n"/>
      <c r="T118" s="56" t="n"/>
      <c r="U118" s="52" t="n"/>
      <c r="V118" s="52" t="n"/>
      <c r="W118" s="52" t="n"/>
      <c r="X118" s="53" t="str">
        <f>IF(AND(L118&lt;&gt;"",IF(ISNUMBER(U118),AND(U118&gt;=1,U118&lt;=10,U118=INT(U118)),FALSE),IF(ISNUMBER(V118),AND(V118&gt;=1,V118&lt;=10,V118=INT(V118)),FALSE),IF(ISNUMBER(W118),AND(W118&gt;=1,W118&lt;=10,W118=INT(W118)),FALSE)),U118*V118*W118,"")</f>
        <v/>
      </c>
      <c r="Y118" s="54" t="str">
        <f>IF(X118="","",IF(OR(U118&gt;=p_gmin,X118&gt;=p_ipr_crit),"Critique",IF(X118&gt;=p_ipr_act,"Élevée",IF(X118&gt;=p_ipr_watch,"Moyenne","Faible"))))</f>
        <v/>
      </c>
      <c r="Z118" s="57" t="str">
        <f>IF(X118="","",(L118-X118)/L118)</f>
        <v/>
      </c>
      <c r="AA118" s="54" t="str">
        <f>IF(AND(D118="",O118=""),"",IF(O118="",IF(N118="Oui","Action à définir",IF(N118="Non","Sans action","")),IF(R118="Annulée","Annulée",IF(R118="Réalisée",IF(X118="","À réévaluer","Réalisée"),IF(N(Q118)=0,"Échéance manquante",IF(Q118&lt;p_today,"En retard",IF(Q118-p_today&lt;=p_alert,"Échéance proche","Dans les délais")))))))</f>
        <v/>
      </c>
      <c r="AB118" s="58" t="str">
        <f>IF(AND(A118="",B118="",D118="",F118="",H118="",K118="",O118=""),"",IF(D118="","Mode de défaillance manquant",IF(AND(A118&lt;&gt;"",COUNTIF(am_num,A118)&gt;1),"N° en double",IF(F118="","Gravité G manquante",IF(NOT(IF(ISNUMBER(F118),AND(F118&gt;=1,F118&lt;=10,F118=INT(F118)),FALSE)),"G : entier de 1 à 10",IF(H118="","Occurrence O manquante",IF(NOT(IF(ISNUMBER(H118),AND(H118&gt;=1,H118&lt;=10,H118=INT(H118)),FALSE)),"O : entier de 1 à 10",IF(K118="","Détection D manquante",IF(NOT(IF(ISNUMBER(K118),AND(K118&gt;=1,K118&lt;=10,K118=INT(K118)),FALSE)),"D : entier de 1 à 10",IF(G118="","Cause manquante",IF(AND(O118&lt;&gt;"",P118=""),"Responsable manquant",IF(AND(R118&lt;&gt;"",O118=""),"Statut sans action",IF(AND(R118="Réalisée",N(S118)=0),"Date de réalisation manquante",IF(AND(T118&lt;&gt;"",IF(ISNUMBER(T118),T118&lt;0,TRUE)),"Coût invalide",IF(AND(COUNTBLANK(U118:W118)&gt;0,COUNTBLANK(U118:W118)&lt;3),"Cotation après action incomplète",IF(AND(COUNTBLANK(U118:W118)=0,X118=""),"G', O', D' : entiers de 1 à 10",IF(AND(X118&lt;&gt;"",X118&gt;L118),"IPR après action plus élevé","OK")))))))))))))))))</f>
        <v/>
      </c>
      <c r="AC118" s="59" t="str">
        <f>IF(OR(AA118="En retard",AA118="Échéance proche",AA118="Dans les délais",AA118="Échéance manquante",AA118="Action à définir",AA118="À réévaluer"),IF(OR(plan_who="",P118=plan_who),IF(N(Q118)&gt;0,Q118,99999)*1000+ROW(),""),"")</f>
        <v/>
      </c>
      <c r="AD118" s="59" t="str">
        <f>IF(L118="","",L118*1000+1000-ROW())</f>
        <v/>
      </c>
      <c r="AE118" s="59" t="str">
        <f>IF(IF(AA118="En retard",1,IF(AA118="Action à définir",2,IF(AA118="Échéance manquante",3,IF(AA118="Échéance proche",4,IF(AA118="À réévaluer",5,0)))))=0,"",IF(AA118="En retard",1,IF(AA118="Action à définir",2,IF(AA118="Échéance manquante",3,IF(AA118="Échéance proche",4,IF(AA118="À réévaluer",5,0)))))*100000000+IF(N(Q118)&gt;0,Q118,99999)*1000+ROW())</f>
        <v/>
      </c>
      <c r="AF118" s="59" t="str">
        <f>IF(X118&lt;&gt;"",X118,L118)</f>
        <v/>
      </c>
      <c r="AG118" s="59" t="str">
        <f>IF(X118&lt;&gt;"",Y118,IF(L118&lt;&gt;"",M118,""))</f>
        <v/>
      </c>
      <c r="AH118" s="59" t="str">
        <f>IF(L118="","",IF(X118&lt;&gt;"",U118,F118))</f>
        <v/>
      </c>
      <c r="AI118" s="59" t="str">
        <f>IF(L118="","",IF(X118&lt;&gt;"",V118,H118))</f>
        <v/>
      </c>
    </row>
    <row r="119" ht="30" customHeight="1">
      <c r="A119" s="50" t="n"/>
      <c r="B119" s="51" t="n"/>
      <c r="C119" s="51" t="n"/>
      <c r="D119" s="51" t="n"/>
      <c r="E119" s="51" t="n"/>
      <c r="F119" s="52" t="n"/>
      <c r="G119" s="51" t="n"/>
      <c r="H119" s="52" t="n"/>
      <c r="I119" s="51" t="n"/>
      <c r="J119" s="51" t="n"/>
      <c r="K119" s="52" t="n"/>
      <c r="L119" s="53" t="str">
        <f>IF(AND(IF(ISNUMBER(F119),AND(F119&gt;=1,F119&lt;=10,F119=INT(F119)),FALSE),IF(ISNUMBER(H119),AND(H119&gt;=1,H119&lt;=10,H119=INT(H119)),FALSE),IF(ISNUMBER(K119),AND(K119&gt;=1,K119&lt;=10,K119=INT(K119)),FALSE)),F119*H119*K119,"")</f>
        <v/>
      </c>
      <c r="M119" s="54" t="str">
        <f>IF(L119="",IF(D119="","","À coter"),IF(OR(F119&gt;=p_gmin,L119&gt;=p_ipr_crit),"Critique",IF(L119&gt;=p_ipr_act,"Élevée",IF(L119&gt;=p_ipr_watch,"Moyenne","Faible"))))</f>
        <v/>
      </c>
      <c r="N119" s="54" t="str">
        <f>IF(OR(M119="",M119="À coter"),"",IF(OR(M119="Critique",M119="Élevée"),"Oui","Non"))</f>
        <v/>
      </c>
      <c r="O119" s="51" t="n"/>
      <c r="P119" s="51" t="n"/>
      <c r="Q119" s="55" t="n"/>
      <c r="R119" s="50" t="n"/>
      <c r="S119" s="55" t="n"/>
      <c r="T119" s="56" t="n"/>
      <c r="U119" s="52" t="n"/>
      <c r="V119" s="52" t="n"/>
      <c r="W119" s="52" t="n"/>
      <c r="X119" s="53" t="str">
        <f>IF(AND(L119&lt;&gt;"",IF(ISNUMBER(U119),AND(U119&gt;=1,U119&lt;=10,U119=INT(U119)),FALSE),IF(ISNUMBER(V119),AND(V119&gt;=1,V119&lt;=10,V119=INT(V119)),FALSE),IF(ISNUMBER(W119),AND(W119&gt;=1,W119&lt;=10,W119=INT(W119)),FALSE)),U119*V119*W119,"")</f>
        <v/>
      </c>
      <c r="Y119" s="54" t="str">
        <f>IF(X119="","",IF(OR(U119&gt;=p_gmin,X119&gt;=p_ipr_crit),"Critique",IF(X119&gt;=p_ipr_act,"Élevée",IF(X119&gt;=p_ipr_watch,"Moyenne","Faible"))))</f>
        <v/>
      </c>
      <c r="Z119" s="57" t="str">
        <f>IF(X119="","",(L119-X119)/L119)</f>
        <v/>
      </c>
      <c r="AA119" s="54" t="str">
        <f>IF(AND(D119="",O119=""),"",IF(O119="",IF(N119="Oui","Action à définir",IF(N119="Non","Sans action","")),IF(R119="Annulée","Annulée",IF(R119="Réalisée",IF(X119="","À réévaluer","Réalisée"),IF(N(Q119)=0,"Échéance manquante",IF(Q119&lt;p_today,"En retard",IF(Q119-p_today&lt;=p_alert,"Échéance proche","Dans les délais")))))))</f>
        <v/>
      </c>
      <c r="AB119" s="58" t="str">
        <f>IF(AND(A119="",B119="",D119="",F119="",H119="",K119="",O119=""),"",IF(D119="","Mode de défaillance manquant",IF(AND(A119&lt;&gt;"",COUNTIF(am_num,A119)&gt;1),"N° en double",IF(F119="","Gravité G manquante",IF(NOT(IF(ISNUMBER(F119),AND(F119&gt;=1,F119&lt;=10,F119=INT(F119)),FALSE)),"G : entier de 1 à 10",IF(H119="","Occurrence O manquante",IF(NOT(IF(ISNUMBER(H119),AND(H119&gt;=1,H119&lt;=10,H119=INT(H119)),FALSE)),"O : entier de 1 à 10",IF(K119="","Détection D manquante",IF(NOT(IF(ISNUMBER(K119),AND(K119&gt;=1,K119&lt;=10,K119=INT(K119)),FALSE)),"D : entier de 1 à 10",IF(G119="","Cause manquante",IF(AND(O119&lt;&gt;"",P119=""),"Responsable manquant",IF(AND(R119&lt;&gt;"",O119=""),"Statut sans action",IF(AND(R119="Réalisée",N(S119)=0),"Date de réalisation manquante",IF(AND(T119&lt;&gt;"",IF(ISNUMBER(T119),T119&lt;0,TRUE)),"Coût invalide",IF(AND(COUNTBLANK(U119:W119)&gt;0,COUNTBLANK(U119:W119)&lt;3),"Cotation après action incomplète",IF(AND(COUNTBLANK(U119:W119)=0,X119=""),"G', O', D' : entiers de 1 à 10",IF(AND(X119&lt;&gt;"",X119&gt;L119),"IPR après action plus élevé","OK")))))))))))))))))</f>
        <v/>
      </c>
      <c r="AC119" s="59" t="str">
        <f>IF(OR(AA119="En retard",AA119="Échéance proche",AA119="Dans les délais",AA119="Échéance manquante",AA119="Action à définir",AA119="À réévaluer"),IF(OR(plan_who="",P119=plan_who),IF(N(Q119)&gt;0,Q119,99999)*1000+ROW(),""),"")</f>
        <v/>
      </c>
      <c r="AD119" s="59" t="str">
        <f>IF(L119="","",L119*1000+1000-ROW())</f>
        <v/>
      </c>
      <c r="AE119" s="59" t="str">
        <f>IF(IF(AA119="En retard",1,IF(AA119="Action à définir",2,IF(AA119="Échéance manquante",3,IF(AA119="Échéance proche",4,IF(AA119="À réévaluer",5,0)))))=0,"",IF(AA119="En retard",1,IF(AA119="Action à définir",2,IF(AA119="Échéance manquante",3,IF(AA119="Échéance proche",4,IF(AA119="À réévaluer",5,0)))))*100000000+IF(N(Q119)&gt;0,Q119,99999)*1000+ROW())</f>
        <v/>
      </c>
      <c r="AF119" s="59" t="str">
        <f>IF(X119&lt;&gt;"",X119,L119)</f>
        <v/>
      </c>
      <c r="AG119" s="59" t="str">
        <f>IF(X119&lt;&gt;"",Y119,IF(L119&lt;&gt;"",M119,""))</f>
        <v/>
      </c>
      <c r="AH119" s="59" t="str">
        <f>IF(L119="","",IF(X119&lt;&gt;"",U119,F119))</f>
        <v/>
      </c>
      <c r="AI119" s="59" t="str">
        <f>IF(L119="","",IF(X119&lt;&gt;"",V119,H119))</f>
        <v/>
      </c>
    </row>
    <row r="120" ht="30" customHeight="1">
      <c r="A120" s="50" t="n"/>
      <c r="B120" s="51" t="n"/>
      <c r="C120" s="51" t="n"/>
      <c r="D120" s="51" t="n"/>
      <c r="E120" s="51" t="n"/>
      <c r="F120" s="52" t="n"/>
      <c r="G120" s="51" t="n"/>
      <c r="H120" s="52" t="n"/>
      <c r="I120" s="51" t="n"/>
      <c r="J120" s="51" t="n"/>
      <c r="K120" s="52" t="n"/>
      <c r="L120" s="53" t="str">
        <f>IF(AND(IF(ISNUMBER(F120),AND(F120&gt;=1,F120&lt;=10,F120=INT(F120)),FALSE),IF(ISNUMBER(H120),AND(H120&gt;=1,H120&lt;=10,H120=INT(H120)),FALSE),IF(ISNUMBER(K120),AND(K120&gt;=1,K120&lt;=10,K120=INT(K120)),FALSE)),F120*H120*K120,"")</f>
        <v/>
      </c>
      <c r="M120" s="54" t="str">
        <f>IF(L120="",IF(D120="","","À coter"),IF(OR(F120&gt;=p_gmin,L120&gt;=p_ipr_crit),"Critique",IF(L120&gt;=p_ipr_act,"Élevée",IF(L120&gt;=p_ipr_watch,"Moyenne","Faible"))))</f>
        <v/>
      </c>
      <c r="N120" s="54" t="str">
        <f>IF(OR(M120="",M120="À coter"),"",IF(OR(M120="Critique",M120="Élevée"),"Oui","Non"))</f>
        <v/>
      </c>
      <c r="O120" s="51" t="n"/>
      <c r="P120" s="51" t="n"/>
      <c r="Q120" s="55" t="n"/>
      <c r="R120" s="50" t="n"/>
      <c r="S120" s="55" t="n"/>
      <c r="T120" s="56" t="n"/>
      <c r="U120" s="52" t="n"/>
      <c r="V120" s="52" t="n"/>
      <c r="W120" s="52" t="n"/>
      <c r="X120" s="53" t="str">
        <f>IF(AND(L120&lt;&gt;"",IF(ISNUMBER(U120),AND(U120&gt;=1,U120&lt;=10,U120=INT(U120)),FALSE),IF(ISNUMBER(V120),AND(V120&gt;=1,V120&lt;=10,V120=INT(V120)),FALSE),IF(ISNUMBER(W120),AND(W120&gt;=1,W120&lt;=10,W120=INT(W120)),FALSE)),U120*V120*W120,"")</f>
        <v/>
      </c>
      <c r="Y120" s="54" t="str">
        <f>IF(X120="","",IF(OR(U120&gt;=p_gmin,X120&gt;=p_ipr_crit),"Critique",IF(X120&gt;=p_ipr_act,"Élevée",IF(X120&gt;=p_ipr_watch,"Moyenne","Faible"))))</f>
        <v/>
      </c>
      <c r="Z120" s="57" t="str">
        <f>IF(X120="","",(L120-X120)/L120)</f>
        <v/>
      </c>
      <c r="AA120" s="54" t="str">
        <f>IF(AND(D120="",O120=""),"",IF(O120="",IF(N120="Oui","Action à définir",IF(N120="Non","Sans action","")),IF(R120="Annulée","Annulée",IF(R120="Réalisée",IF(X120="","À réévaluer","Réalisée"),IF(N(Q120)=0,"Échéance manquante",IF(Q120&lt;p_today,"En retard",IF(Q120-p_today&lt;=p_alert,"Échéance proche","Dans les délais")))))))</f>
        <v/>
      </c>
      <c r="AB120" s="58" t="str">
        <f>IF(AND(A120="",B120="",D120="",F120="",H120="",K120="",O120=""),"",IF(D120="","Mode de défaillance manquant",IF(AND(A120&lt;&gt;"",COUNTIF(am_num,A120)&gt;1),"N° en double",IF(F120="","Gravité G manquante",IF(NOT(IF(ISNUMBER(F120),AND(F120&gt;=1,F120&lt;=10,F120=INT(F120)),FALSE)),"G : entier de 1 à 10",IF(H120="","Occurrence O manquante",IF(NOT(IF(ISNUMBER(H120),AND(H120&gt;=1,H120&lt;=10,H120=INT(H120)),FALSE)),"O : entier de 1 à 10",IF(K120="","Détection D manquante",IF(NOT(IF(ISNUMBER(K120),AND(K120&gt;=1,K120&lt;=10,K120=INT(K120)),FALSE)),"D : entier de 1 à 10",IF(G120="","Cause manquante",IF(AND(O120&lt;&gt;"",P120=""),"Responsable manquant",IF(AND(R120&lt;&gt;"",O120=""),"Statut sans action",IF(AND(R120="Réalisée",N(S120)=0),"Date de réalisation manquante",IF(AND(T120&lt;&gt;"",IF(ISNUMBER(T120),T120&lt;0,TRUE)),"Coût invalide",IF(AND(COUNTBLANK(U120:W120)&gt;0,COUNTBLANK(U120:W120)&lt;3),"Cotation après action incomplète",IF(AND(COUNTBLANK(U120:W120)=0,X120=""),"G', O', D' : entiers de 1 à 10",IF(AND(X120&lt;&gt;"",X120&gt;L120),"IPR après action plus élevé","OK")))))))))))))))))</f>
        <v/>
      </c>
      <c r="AC120" s="59" t="str">
        <f>IF(OR(AA120="En retard",AA120="Échéance proche",AA120="Dans les délais",AA120="Échéance manquante",AA120="Action à définir",AA120="À réévaluer"),IF(OR(plan_who="",P120=plan_who),IF(N(Q120)&gt;0,Q120,99999)*1000+ROW(),""),"")</f>
        <v/>
      </c>
      <c r="AD120" s="59" t="str">
        <f>IF(L120="","",L120*1000+1000-ROW())</f>
        <v/>
      </c>
      <c r="AE120" s="59" t="str">
        <f>IF(IF(AA120="En retard",1,IF(AA120="Action à définir",2,IF(AA120="Échéance manquante",3,IF(AA120="Échéance proche",4,IF(AA120="À réévaluer",5,0)))))=0,"",IF(AA120="En retard",1,IF(AA120="Action à définir",2,IF(AA120="Échéance manquante",3,IF(AA120="Échéance proche",4,IF(AA120="À réévaluer",5,0)))))*100000000+IF(N(Q120)&gt;0,Q120,99999)*1000+ROW())</f>
        <v/>
      </c>
      <c r="AF120" s="59" t="str">
        <f>IF(X120&lt;&gt;"",X120,L120)</f>
        <v/>
      </c>
      <c r="AG120" s="59" t="str">
        <f>IF(X120&lt;&gt;"",Y120,IF(L120&lt;&gt;"",M120,""))</f>
        <v/>
      </c>
      <c r="AH120" s="59" t="str">
        <f>IF(L120="","",IF(X120&lt;&gt;"",U120,F120))</f>
        <v/>
      </c>
      <c r="AI120" s="59" t="str">
        <f>IF(L120="","",IF(X120&lt;&gt;"",V120,H120))</f>
        <v/>
      </c>
    </row>
    <row r="121" ht="30" customHeight="1">
      <c r="A121" s="50" t="n"/>
      <c r="B121" s="51" t="n"/>
      <c r="C121" s="51" t="n"/>
      <c r="D121" s="51" t="n"/>
      <c r="E121" s="51" t="n"/>
      <c r="F121" s="52" t="n"/>
      <c r="G121" s="51" t="n"/>
      <c r="H121" s="52" t="n"/>
      <c r="I121" s="51" t="n"/>
      <c r="J121" s="51" t="n"/>
      <c r="K121" s="52" t="n"/>
      <c r="L121" s="53" t="str">
        <f>IF(AND(IF(ISNUMBER(F121),AND(F121&gt;=1,F121&lt;=10,F121=INT(F121)),FALSE),IF(ISNUMBER(H121),AND(H121&gt;=1,H121&lt;=10,H121=INT(H121)),FALSE),IF(ISNUMBER(K121),AND(K121&gt;=1,K121&lt;=10,K121=INT(K121)),FALSE)),F121*H121*K121,"")</f>
        <v/>
      </c>
      <c r="M121" s="54" t="str">
        <f>IF(L121="",IF(D121="","","À coter"),IF(OR(F121&gt;=p_gmin,L121&gt;=p_ipr_crit),"Critique",IF(L121&gt;=p_ipr_act,"Élevée",IF(L121&gt;=p_ipr_watch,"Moyenne","Faible"))))</f>
        <v/>
      </c>
      <c r="N121" s="54" t="str">
        <f>IF(OR(M121="",M121="À coter"),"",IF(OR(M121="Critique",M121="Élevée"),"Oui","Non"))</f>
        <v/>
      </c>
      <c r="O121" s="51" t="n"/>
      <c r="P121" s="51" t="n"/>
      <c r="Q121" s="55" t="n"/>
      <c r="R121" s="50" t="n"/>
      <c r="S121" s="55" t="n"/>
      <c r="T121" s="56" t="n"/>
      <c r="U121" s="52" t="n"/>
      <c r="V121" s="52" t="n"/>
      <c r="W121" s="52" t="n"/>
      <c r="X121" s="53" t="str">
        <f>IF(AND(L121&lt;&gt;"",IF(ISNUMBER(U121),AND(U121&gt;=1,U121&lt;=10,U121=INT(U121)),FALSE),IF(ISNUMBER(V121),AND(V121&gt;=1,V121&lt;=10,V121=INT(V121)),FALSE),IF(ISNUMBER(W121),AND(W121&gt;=1,W121&lt;=10,W121=INT(W121)),FALSE)),U121*V121*W121,"")</f>
        <v/>
      </c>
      <c r="Y121" s="54" t="str">
        <f>IF(X121="","",IF(OR(U121&gt;=p_gmin,X121&gt;=p_ipr_crit),"Critique",IF(X121&gt;=p_ipr_act,"Élevée",IF(X121&gt;=p_ipr_watch,"Moyenne","Faible"))))</f>
        <v/>
      </c>
      <c r="Z121" s="57" t="str">
        <f>IF(X121="","",(L121-X121)/L121)</f>
        <v/>
      </c>
      <c r="AA121" s="54" t="str">
        <f>IF(AND(D121="",O121=""),"",IF(O121="",IF(N121="Oui","Action à définir",IF(N121="Non","Sans action","")),IF(R121="Annulée","Annulée",IF(R121="Réalisée",IF(X121="","À réévaluer","Réalisée"),IF(N(Q121)=0,"Échéance manquante",IF(Q121&lt;p_today,"En retard",IF(Q121-p_today&lt;=p_alert,"Échéance proche","Dans les délais")))))))</f>
        <v/>
      </c>
      <c r="AB121" s="58" t="str">
        <f>IF(AND(A121="",B121="",D121="",F121="",H121="",K121="",O121=""),"",IF(D121="","Mode de défaillance manquant",IF(AND(A121&lt;&gt;"",COUNTIF(am_num,A121)&gt;1),"N° en double",IF(F121="","Gravité G manquante",IF(NOT(IF(ISNUMBER(F121),AND(F121&gt;=1,F121&lt;=10,F121=INT(F121)),FALSE)),"G : entier de 1 à 10",IF(H121="","Occurrence O manquante",IF(NOT(IF(ISNUMBER(H121),AND(H121&gt;=1,H121&lt;=10,H121=INT(H121)),FALSE)),"O : entier de 1 à 10",IF(K121="","Détection D manquante",IF(NOT(IF(ISNUMBER(K121),AND(K121&gt;=1,K121&lt;=10,K121=INT(K121)),FALSE)),"D : entier de 1 à 10",IF(G121="","Cause manquante",IF(AND(O121&lt;&gt;"",P121=""),"Responsable manquant",IF(AND(R121&lt;&gt;"",O121=""),"Statut sans action",IF(AND(R121="Réalisée",N(S121)=0),"Date de réalisation manquante",IF(AND(T121&lt;&gt;"",IF(ISNUMBER(T121),T121&lt;0,TRUE)),"Coût invalide",IF(AND(COUNTBLANK(U121:W121)&gt;0,COUNTBLANK(U121:W121)&lt;3),"Cotation après action incomplète",IF(AND(COUNTBLANK(U121:W121)=0,X121=""),"G', O', D' : entiers de 1 à 10",IF(AND(X121&lt;&gt;"",X121&gt;L121),"IPR après action plus élevé","OK")))))))))))))))))</f>
        <v/>
      </c>
      <c r="AC121" s="59" t="str">
        <f>IF(OR(AA121="En retard",AA121="Échéance proche",AA121="Dans les délais",AA121="Échéance manquante",AA121="Action à définir",AA121="À réévaluer"),IF(OR(plan_who="",P121=plan_who),IF(N(Q121)&gt;0,Q121,99999)*1000+ROW(),""),"")</f>
        <v/>
      </c>
      <c r="AD121" s="59" t="str">
        <f>IF(L121="","",L121*1000+1000-ROW())</f>
        <v/>
      </c>
      <c r="AE121" s="59" t="str">
        <f>IF(IF(AA121="En retard",1,IF(AA121="Action à définir",2,IF(AA121="Échéance manquante",3,IF(AA121="Échéance proche",4,IF(AA121="À réévaluer",5,0)))))=0,"",IF(AA121="En retard",1,IF(AA121="Action à définir",2,IF(AA121="Échéance manquante",3,IF(AA121="Échéance proche",4,IF(AA121="À réévaluer",5,0)))))*100000000+IF(N(Q121)&gt;0,Q121,99999)*1000+ROW())</f>
        <v/>
      </c>
      <c r="AF121" s="59" t="str">
        <f>IF(X121&lt;&gt;"",X121,L121)</f>
        <v/>
      </c>
      <c r="AG121" s="59" t="str">
        <f>IF(X121&lt;&gt;"",Y121,IF(L121&lt;&gt;"",M121,""))</f>
        <v/>
      </c>
      <c r="AH121" s="59" t="str">
        <f>IF(L121="","",IF(X121&lt;&gt;"",U121,F121))</f>
        <v/>
      </c>
      <c r="AI121" s="59" t="str">
        <f>IF(L121="","",IF(X121&lt;&gt;"",V121,H121))</f>
        <v/>
      </c>
    </row>
    <row r="122" ht="30" customHeight="1">
      <c r="A122" s="50" t="n"/>
      <c r="B122" s="51" t="n"/>
      <c r="C122" s="51" t="n"/>
      <c r="D122" s="51" t="n"/>
      <c r="E122" s="51" t="n"/>
      <c r="F122" s="52" t="n"/>
      <c r="G122" s="51" t="n"/>
      <c r="H122" s="52" t="n"/>
      <c r="I122" s="51" t="n"/>
      <c r="J122" s="51" t="n"/>
      <c r="K122" s="52" t="n"/>
      <c r="L122" s="53" t="str">
        <f>IF(AND(IF(ISNUMBER(F122),AND(F122&gt;=1,F122&lt;=10,F122=INT(F122)),FALSE),IF(ISNUMBER(H122),AND(H122&gt;=1,H122&lt;=10,H122=INT(H122)),FALSE),IF(ISNUMBER(K122),AND(K122&gt;=1,K122&lt;=10,K122=INT(K122)),FALSE)),F122*H122*K122,"")</f>
        <v/>
      </c>
      <c r="M122" s="54" t="str">
        <f>IF(L122="",IF(D122="","","À coter"),IF(OR(F122&gt;=p_gmin,L122&gt;=p_ipr_crit),"Critique",IF(L122&gt;=p_ipr_act,"Élevée",IF(L122&gt;=p_ipr_watch,"Moyenne","Faible"))))</f>
        <v/>
      </c>
      <c r="N122" s="54" t="str">
        <f>IF(OR(M122="",M122="À coter"),"",IF(OR(M122="Critique",M122="Élevée"),"Oui","Non"))</f>
        <v/>
      </c>
      <c r="O122" s="51" t="n"/>
      <c r="P122" s="51" t="n"/>
      <c r="Q122" s="55" t="n"/>
      <c r="R122" s="50" t="n"/>
      <c r="S122" s="55" t="n"/>
      <c r="T122" s="56" t="n"/>
      <c r="U122" s="52" t="n"/>
      <c r="V122" s="52" t="n"/>
      <c r="W122" s="52" t="n"/>
      <c r="X122" s="53" t="str">
        <f>IF(AND(L122&lt;&gt;"",IF(ISNUMBER(U122),AND(U122&gt;=1,U122&lt;=10,U122=INT(U122)),FALSE),IF(ISNUMBER(V122),AND(V122&gt;=1,V122&lt;=10,V122=INT(V122)),FALSE),IF(ISNUMBER(W122),AND(W122&gt;=1,W122&lt;=10,W122=INT(W122)),FALSE)),U122*V122*W122,"")</f>
        <v/>
      </c>
      <c r="Y122" s="54" t="str">
        <f>IF(X122="","",IF(OR(U122&gt;=p_gmin,X122&gt;=p_ipr_crit),"Critique",IF(X122&gt;=p_ipr_act,"Élevée",IF(X122&gt;=p_ipr_watch,"Moyenne","Faible"))))</f>
        <v/>
      </c>
      <c r="Z122" s="57" t="str">
        <f>IF(X122="","",(L122-X122)/L122)</f>
        <v/>
      </c>
      <c r="AA122" s="54" t="str">
        <f>IF(AND(D122="",O122=""),"",IF(O122="",IF(N122="Oui","Action à définir",IF(N122="Non","Sans action","")),IF(R122="Annulée","Annulée",IF(R122="Réalisée",IF(X122="","À réévaluer","Réalisée"),IF(N(Q122)=0,"Échéance manquante",IF(Q122&lt;p_today,"En retard",IF(Q122-p_today&lt;=p_alert,"Échéance proche","Dans les délais")))))))</f>
        <v/>
      </c>
      <c r="AB122" s="58" t="str">
        <f>IF(AND(A122="",B122="",D122="",F122="",H122="",K122="",O122=""),"",IF(D122="","Mode de défaillance manquant",IF(AND(A122&lt;&gt;"",COUNTIF(am_num,A122)&gt;1),"N° en double",IF(F122="","Gravité G manquante",IF(NOT(IF(ISNUMBER(F122),AND(F122&gt;=1,F122&lt;=10,F122=INT(F122)),FALSE)),"G : entier de 1 à 10",IF(H122="","Occurrence O manquante",IF(NOT(IF(ISNUMBER(H122),AND(H122&gt;=1,H122&lt;=10,H122=INT(H122)),FALSE)),"O : entier de 1 à 10",IF(K122="","Détection D manquante",IF(NOT(IF(ISNUMBER(K122),AND(K122&gt;=1,K122&lt;=10,K122=INT(K122)),FALSE)),"D : entier de 1 à 10",IF(G122="","Cause manquante",IF(AND(O122&lt;&gt;"",P122=""),"Responsable manquant",IF(AND(R122&lt;&gt;"",O122=""),"Statut sans action",IF(AND(R122="Réalisée",N(S122)=0),"Date de réalisation manquante",IF(AND(T122&lt;&gt;"",IF(ISNUMBER(T122),T122&lt;0,TRUE)),"Coût invalide",IF(AND(COUNTBLANK(U122:W122)&gt;0,COUNTBLANK(U122:W122)&lt;3),"Cotation après action incomplète",IF(AND(COUNTBLANK(U122:W122)=0,X122=""),"G', O', D' : entiers de 1 à 10",IF(AND(X122&lt;&gt;"",X122&gt;L122),"IPR après action plus élevé","OK")))))))))))))))))</f>
        <v/>
      </c>
      <c r="AC122" s="59" t="str">
        <f>IF(OR(AA122="En retard",AA122="Échéance proche",AA122="Dans les délais",AA122="Échéance manquante",AA122="Action à définir",AA122="À réévaluer"),IF(OR(plan_who="",P122=plan_who),IF(N(Q122)&gt;0,Q122,99999)*1000+ROW(),""),"")</f>
        <v/>
      </c>
      <c r="AD122" s="59" t="str">
        <f>IF(L122="","",L122*1000+1000-ROW())</f>
        <v/>
      </c>
      <c r="AE122" s="59" t="str">
        <f>IF(IF(AA122="En retard",1,IF(AA122="Action à définir",2,IF(AA122="Échéance manquante",3,IF(AA122="Échéance proche",4,IF(AA122="À réévaluer",5,0)))))=0,"",IF(AA122="En retard",1,IF(AA122="Action à définir",2,IF(AA122="Échéance manquante",3,IF(AA122="Échéance proche",4,IF(AA122="À réévaluer",5,0)))))*100000000+IF(N(Q122)&gt;0,Q122,99999)*1000+ROW())</f>
        <v/>
      </c>
      <c r="AF122" s="59" t="str">
        <f>IF(X122&lt;&gt;"",X122,L122)</f>
        <v/>
      </c>
      <c r="AG122" s="59" t="str">
        <f>IF(X122&lt;&gt;"",Y122,IF(L122&lt;&gt;"",M122,""))</f>
        <v/>
      </c>
      <c r="AH122" s="59" t="str">
        <f>IF(L122="","",IF(X122&lt;&gt;"",U122,F122))</f>
        <v/>
      </c>
      <c r="AI122" s="59" t="str">
        <f>IF(L122="","",IF(X122&lt;&gt;"",V122,H122))</f>
        <v/>
      </c>
    </row>
    <row r="123" ht="30" customHeight="1">
      <c r="A123" s="50" t="n"/>
      <c r="B123" s="51" t="n"/>
      <c r="C123" s="51" t="n"/>
      <c r="D123" s="51" t="n"/>
      <c r="E123" s="51" t="n"/>
      <c r="F123" s="52" t="n"/>
      <c r="G123" s="51" t="n"/>
      <c r="H123" s="52" t="n"/>
      <c r="I123" s="51" t="n"/>
      <c r="J123" s="51" t="n"/>
      <c r="K123" s="52" t="n"/>
      <c r="L123" s="53" t="str">
        <f>IF(AND(IF(ISNUMBER(F123),AND(F123&gt;=1,F123&lt;=10,F123=INT(F123)),FALSE),IF(ISNUMBER(H123),AND(H123&gt;=1,H123&lt;=10,H123=INT(H123)),FALSE),IF(ISNUMBER(K123),AND(K123&gt;=1,K123&lt;=10,K123=INT(K123)),FALSE)),F123*H123*K123,"")</f>
        <v/>
      </c>
      <c r="M123" s="54" t="str">
        <f>IF(L123="",IF(D123="","","À coter"),IF(OR(F123&gt;=p_gmin,L123&gt;=p_ipr_crit),"Critique",IF(L123&gt;=p_ipr_act,"Élevée",IF(L123&gt;=p_ipr_watch,"Moyenne","Faible"))))</f>
        <v/>
      </c>
      <c r="N123" s="54" t="str">
        <f>IF(OR(M123="",M123="À coter"),"",IF(OR(M123="Critique",M123="Élevée"),"Oui","Non"))</f>
        <v/>
      </c>
      <c r="O123" s="51" t="n"/>
      <c r="P123" s="51" t="n"/>
      <c r="Q123" s="55" t="n"/>
      <c r="R123" s="50" t="n"/>
      <c r="S123" s="55" t="n"/>
      <c r="T123" s="56" t="n"/>
      <c r="U123" s="52" t="n"/>
      <c r="V123" s="52" t="n"/>
      <c r="W123" s="52" t="n"/>
      <c r="X123" s="53" t="str">
        <f>IF(AND(L123&lt;&gt;"",IF(ISNUMBER(U123),AND(U123&gt;=1,U123&lt;=10,U123=INT(U123)),FALSE),IF(ISNUMBER(V123),AND(V123&gt;=1,V123&lt;=10,V123=INT(V123)),FALSE),IF(ISNUMBER(W123),AND(W123&gt;=1,W123&lt;=10,W123=INT(W123)),FALSE)),U123*V123*W123,"")</f>
        <v/>
      </c>
      <c r="Y123" s="54" t="str">
        <f>IF(X123="","",IF(OR(U123&gt;=p_gmin,X123&gt;=p_ipr_crit),"Critique",IF(X123&gt;=p_ipr_act,"Élevée",IF(X123&gt;=p_ipr_watch,"Moyenne","Faible"))))</f>
        <v/>
      </c>
      <c r="Z123" s="57" t="str">
        <f>IF(X123="","",(L123-X123)/L123)</f>
        <v/>
      </c>
      <c r="AA123" s="54" t="str">
        <f>IF(AND(D123="",O123=""),"",IF(O123="",IF(N123="Oui","Action à définir",IF(N123="Non","Sans action","")),IF(R123="Annulée","Annulée",IF(R123="Réalisée",IF(X123="","À réévaluer","Réalisée"),IF(N(Q123)=0,"Échéance manquante",IF(Q123&lt;p_today,"En retard",IF(Q123-p_today&lt;=p_alert,"Échéance proche","Dans les délais")))))))</f>
        <v/>
      </c>
      <c r="AB123" s="58" t="str">
        <f>IF(AND(A123="",B123="",D123="",F123="",H123="",K123="",O123=""),"",IF(D123="","Mode de défaillance manquant",IF(AND(A123&lt;&gt;"",COUNTIF(am_num,A123)&gt;1),"N° en double",IF(F123="","Gravité G manquante",IF(NOT(IF(ISNUMBER(F123),AND(F123&gt;=1,F123&lt;=10,F123=INT(F123)),FALSE)),"G : entier de 1 à 10",IF(H123="","Occurrence O manquante",IF(NOT(IF(ISNUMBER(H123),AND(H123&gt;=1,H123&lt;=10,H123=INT(H123)),FALSE)),"O : entier de 1 à 10",IF(K123="","Détection D manquante",IF(NOT(IF(ISNUMBER(K123),AND(K123&gt;=1,K123&lt;=10,K123=INT(K123)),FALSE)),"D : entier de 1 à 10",IF(G123="","Cause manquante",IF(AND(O123&lt;&gt;"",P123=""),"Responsable manquant",IF(AND(R123&lt;&gt;"",O123=""),"Statut sans action",IF(AND(R123="Réalisée",N(S123)=0),"Date de réalisation manquante",IF(AND(T123&lt;&gt;"",IF(ISNUMBER(T123),T123&lt;0,TRUE)),"Coût invalide",IF(AND(COUNTBLANK(U123:W123)&gt;0,COUNTBLANK(U123:W123)&lt;3),"Cotation après action incomplète",IF(AND(COUNTBLANK(U123:W123)=0,X123=""),"G', O', D' : entiers de 1 à 10",IF(AND(X123&lt;&gt;"",X123&gt;L123),"IPR après action plus élevé","OK")))))))))))))))))</f>
        <v/>
      </c>
      <c r="AC123" s="59" t="str">
        <f>IF(OR(AA123="En retard",AA123="Échéance proche",AA123="Dans les délais",AA123="Échéance manquante",AA123="Action à définir",AA123="À réévaluer"),IF(OR(plan_who="",P123=plan_who),IF(N(Q123)&gt;0,Q123,99999)*1000+ROW(),""),"")</f>
        <v/>
      </c>
      <c r="AD123" s="59" t="str">
        <f>IF(L123="","",L123*1000+1000-ROW())</f>
        <v/>
      </c>
      <c r="AE123" s="59" t="str">
        <f>IF(IF(AA123="En retard",1,IF(AA123="Action à définir",2,IF(AA123="Échéance manquante",3,IF(AA123="Échéance proche",4,IF(AA123="À réévaluer",5,0)))))=0,"",IF(AA123="En retard",1,IF(AA123="Action à définir",2,IF(AA123="Échéance manquante",3,IF(AA123="Échéance proche",4,IF(AA123="À réévaluer",5,0)))))*100000000+IF(N(Q123)&gt;0,Q123,99999)*1000+ROW())</f>
        <v/>
      </c>
      <c r="AF123" s="59" t="str">
        <f>IF(X123&lt;&gt;"",X123,L123)</f>
        <v/>
      </c>
      <c r="AG123" s="59" t="str">
        <f>IF(X123&lt;&gt;"",Y123,IF(L123&lt;&gt;"",M123,""))</f>
        <v/>
      </c>
      <c r="AH123" s="59" t="str">
        <f>IF(L123="","",IF(X123&lt;&gt;"",U123,F123))</f>
        <v/>
      </c>
      <c r="AI123" s="59" t="str">
        <f>IF(L123="","",IF(X123&lt;&gt;"",V123,H123))</f>
        <v/>
      </c>
    </row>
    <row r="124" ht="30" customHeight="1">
      <c r="A124" s="50" t="n"/>
      <c r="B124" s="51" t="n"/>
      <c r="C124" s="51" t="n"/>
      <c r="D124" s="51" t="n"/>
      <c r="E124" s="51" t="n"/>
      <c r="F124" s="52" t="n"/>
      <c r="G124" s="51" t="n"/>
      <c r="H124" s="52" t="n"/>
      <c r="I124" s="51" t="n"/>
      <c r="J124" s="51" t="n"/>
      <c r="K124" s="52" t="n"/>
      <c r="L124" s="53" t="str">
        <f>IF(AND(IF(ISNUMBER(F124),AND(F124&gt;=1,F124&lt;=10,F124=INT(F124)),FALSE),IF(ISNUMBER(H124),AND(H124&gt;=1,H124&lt;=10,H124=INT(H124)),FALSE),IF(ISNUMBER(K124),AND(K124&gt;=1,K124&lt;=10,K124=INT(K124)),FALSE)),F124*H124*K124,"")</f>
        <v/>
      </c>
      <c r="M124" s="54" t="str">
        <f>IF(L124="",IF(D124="","","À coter"),IF(OR(F124&gt;=p_gmin,L124&gt;=p_ipr_crit),"Critique",IF(L124&gt;=p_ipr_act,"Élevée",IF(L124&gt;=p_ipr_watch,"Moyenne","Faible"))))</f>
        <v/>
      </c>
      <c r="N124" s="54" t="str">
        <f>IF(OR(M124="",M124="À coter"),"",IF(OR(M124="Critique",M124="Élevée"),"Oui","Non"))</f>
        <v/>
      </c>
      <c r="O124" s="51" t="n"/>
      <c r="P124" s="51" t="n"/>
      <c r="Q124" s="55" t="n"/>
      <c r="R124" s="50" t="n"/>
      <c r="S124" s="55" t="n"/>
      <c r="T124" s="56" t="n"/>
      <c r="U124" s="52" t="n"/>
      <c r="V124" s="52" t="n"/>
      <c r="W124" s="52" t="n"/>
      <c r="X124" s="53" t="str">
        <f>IF(AND(L124&lt;&gt;"",IF(ISNUMBER(U124),AND(U124&gt;=1,U124&lt;=10,U124=INT(U124)),FALSE),IF(ISNUMBER(V124),AND(V124&gt;=1,V124&lt;=10,V124=INT(V124)),FALSE),IF(ISNUMBER(W124),AND(W124&gt;=1,W124&lt;=10,W124=INT(W124)),FALSE)),U124*V124*W124,"")</f>
        <v/>
      </c>
      <c r="Y124" s="54" t="str">
        <f>IF(X124="","",IF(OR(U124&gt;=p_gmin,X124&gt;=p_ipr_crit),"Critique",IF(X124&gt;=p_ipr_act,"Élevée",IF(X124&gt;=p_ipr_watch,"Moyenne","Faible"))))</f>
        <v/>
      </c>
      <c r="Z124" s="57" t="str">
        <f>IF(X124="","",(L124-X124)/L124)</f>
        <v/>
      </c>
      <c r="AA124" s="54" t="str">
        <f>IF(AND(D124="",O124=""),"",IF(O124="",IF(N124="Oui","Action à définir",IF(N124="Non","Sans action","")),IF(R124="Annulée","Annulée",IF(R124="Réalisée",IF(X124="","À réévaluer","Réalisée"),IF(N(Q124)=0,"Échéance manquante",IF(Q124&lt;p_today,"En retard",IF(Q124-p_today&lt;=p_alert,"Échéance proche","Dans les délais")))))))</f>
        <v/>
      </c>
      <c r="AB124" s="58" t="str">
        <f>IF(AND(A124="",B124="",D124="",F124="",H124="",K124="",O124=""),"",IF(D124="","Mode de défaillance manquant",IF(AND(A124&lt;&gt;"",COUNTIF(am_num,A124)&gt;1),"N° en double",IF(F124="","Gravité G manquante",IF(NOT(IF(ISNUMBER(F124),AND(F124&gt;=1,F124&lt;=10,F124=INT(F124)),FALSE)),"G : entier de 1 à 10",IF(H124="","Occurrence O manquante",IF(NOT(IF(ISNUMBER(H124),AND(H124&gt;=1,H124&lt;=10,H124=INT(H124)),FALSE)),"O : entier de 1 à 10",IF(K124="","Détection D manquante",IF(NOT(IF(ISNUMBER(K124),AND(K124&gt;=1,K124&lt;=10,K124=INT(K124)),FALSE)),"D : entier de 1 à 10",IF(G124="","Cause manquante",IF(AND(O124&lt;&gt;"",P124=""),"Responsable manquant",IF(AND(R124&lt;&gt;"",O124=""),"Statut sans action",IF(AND(R124="Réalisée",N(S124)=0),"Date de réalisation manquante",IF(AND(T124&lt;&gt;"",IF(ISNUMBER(T124),T124&lt;0,TRUE)),"Coût invalide",IF(AND(COUNTBLANK(U124:W124)&gt;0,COUNTBLANK(U124:W124)&lt;3),"Cotation après action incomplète",IF(AND(COUNTBLANK(U124:W124)=0,X124=""),"G', O', D' : entiers de 1 à 10",IF(AND(X124&lt;&gt;"",X124&gt;L124),"IPR après action plus élevé","OK")))))))))))))))))</f>
        <v/>
      </c>
      <c r="AC124" s="59" t="str">
        <f>IF(OR(AA124="En retard",AA124="Échéance proche",AA124="Dans les délais",AA124="Échéance manquante",AA124="Action à définir",AA124="À réévaluer"),IF(OR(plan_who="",P124=plan_who),IF(N(Q124)&gt;0,Q124,99999)*1000+ROW(),""),"")</f>
        <v/>
      </c>
      <c r="AD124" s="59" t="str">
        <f>IF(L124="","",L124*1000+1000-ROW())</f>
        <v/>
      </c>
      <c r="AE124" s="59" t="str">
        <f>IF(IF(AA124="En retard",1,IF(AA124="Action à définir",2,IF(AA124="Échéance manquante",3,IF(AA124="Échéance proche",4,IF(AA124="À réévaluer",5,0)))))=0,"",IF(AA124="En retard",1,IF(AA124="Action à définir",2,IF(AA124="Échéance manquante",3,IF(AA124="Échéance proche",4,IF(AA124="À réévaluer",5,0)))))*100000000+IF(N(Q124)&gt;0,Q124,99999)*1000+ROW())</f>
        <v/>
      </c>
      <c r="AF124" s="59" t="str">
        <f>IF(X124&lt;&gt;"",X124,L124)</f>
        <v/>
      </c>
      <c r="AG124" s="59" t="str">
        <f>IF(X124&lt;&gt;"",Y124,IF(L124&lt;&gt;"",M124,""))</f>
        <v/>
      </c>
      <c r="AH124" s="59" t="str">
        <f>IF(L124="","",IF(X124&lt;&gt;"",U124,F124))</f>
        <v/>
      </c>
      <c r="AI124" s="59" t="str">
        <f>IF(L124="","",IF(X124&lt;&gt;"",V124,H124))</f>
        <v/>
      </c>
    </row>
    <row r="125" ht="30" customHeight="1">
      <c r="A125" s="50" t="n"/>
      <c r="B125" s="51" t="n"/>
      <c r="C125" s="51" t="n"/>
      <c r="D125" s="51" t="n"/>
      <c r="E125" s="51" t="n"/>
      <c r="F125" s="52" t="n"/>
      <c r="G125" s="51" t="n"/>
      <c r="H125" s="52" t="n"/>
      <c r="I125" s="51" t="n"/>
      <c r="J125" s="51" t="n"/>
      <c r="K125" s="52" t="n"/>
      <c r="L125" s="53" t="str">
        <f>IF(AND(IF(ISNUMBER(F125),AND(F125&gt;=1,F125&lt;=10,F125=INT(F125)),FALSE),IF(ISNUMBER(H125),AND(H125&gt;=1,H125&lt;=10,H125=INT(H125)),FALSE),IF(ISNUMBER(K125),AND(K125&gt;=1,K125&lt;=10,K125=INT(K125)),FALSE)),F125*H125*K125,"")</f>
        <v/>
      </c>
      <c r="M125" s="54" t="str">
        <f>IF(L125="",IF(D125="","","À coter"),IF(OR(F125&gt;=p_gmin,L125&gt;=p_ipr_crit),"Critique",IF(L125&gt;=p_ipr_act,"Élevée",IF(L125&gt;=p_ipr_watch,"Moyenne","Faible"))))</f>
        <v/>
      </c>
      <c r="N125" s="54" t="str">
        <f>IF(OR(M125="",M125="À coter"),"",IF(OR(M125="Critique",M125="Élevée"),"Oui","Non"))</f>
        <v/>
      </c>
      <c r="O125" s="51" t="n"/>
      <c r="P125" s="51" t="n"/>
      <c r="Q125" s="55" t="n"/>
      <c r="R125" s="50" t="n"/>
      <c r="S125" s="55" t="n"/>
      <c r="T125" s="56" t="n"/>
      <c r="U125" s="52" t="n"/>
      <c r="V125" s="52" t="n"/>
      <c r="W125" s="52" t="n"/>
      <c r="X125" s="53" t="str">
        <f>IF(AND(L125&lt;&gt;"",IF(ISNUMBER(U125),AND(U125&gt;=1,U125&lt;=10,U125=INT(U125)),FALSE),IF(ISNUMBER(V125),AND(V125&gt;=1,V125&lt;=10,V125=INT(V125)),FALSE),IF(ISNUMBER(W125),AND(W125&gt;=1,W125&lt;=10,W125=INT(W125)),FALSE)),U125*V125*W125,"")</f>
        <v/>
      </c>
      <c r="Y125" s="54" t="str">
        <f>IF(X125="","",IF(OR(U125&gt;=p_gmin,X125&gt;=p_ipr_crit),"Critique",IF(X125&gt;=p_ipr_act,"Élevée",IF(X125&gt;=p_ipr_watch,"Moyenne","Faible"))))</f>
        <v/>
      </c>
      <c r="Z125" s="57" t="str">
        <f>IF(X125="","",(L125-X125)/L125)</f>
        <v/>
      </c>
      <c r="AA125" s="54" t="str">
        <f>IF(AND(D125="",O125=""),"",IF(O125="",IF(N125="Oui","Action à définir",IF(N125="Non","Sans action","")),IF(R125="Annulée","Annulée",IF(R125="Réalisée",IF(X125="","À réévaluer","Réalisée"),IF(N(Q125)=0,"Échéance manquante",IF(Q125&lt;p_today,"En retard",IF(Q125-p_today&lt;=p_alert,"Échéance proche","Dans les délais")))))))</f>
        <v/>
      </c>
      <c r="AB125" s="58" t="str">
        <f>IF(AND(A125="",B125="",D125="",F125="",H125="",K125="",O125=""),"",IF(D125="","Mode de défaillance manquant",IF(AND(A125&lt;&gt;"",COUNTIF(am_num,A125)&gt;1),"N° en double",IF(F125="","Gravité G manquante",IF(NOT(IF(ISNUMBER(F125),AND(F125&gt;=1,F125&lt;=10,F125=INT(F125)),FALSE)),"G : entier de 1 à 10",IF(H125="","Occurrence O manquante",IF(NOT(IF(ISNUMBER(H125),AND(H125&gt;=1,H125&lt;=10,H125=INT(H125)),FALSE)),"O : entier de 1 à 10",IF(K125="","Détection D manquante",IF(NOT(IF(ISNUMBER(K125),AND(K125&gt;=1,K125&lt;=10,K125=INT(K125)),FALSE)),"D : entier de 1 à 10",IF(G125="","Cause manquante",IF(AND(O125&lt;&gt;"",P125=""),"Responsable manquant",IF(AND(R125&lt;&gt;"",O125=""),"Statut sans action",IF(AND(R125="Réalisée",N(S125)=0),"Date de réalisation manquante",IF(AND(T125&lt;&gt;"",IF(ISNUMBER(T125),T125&lt;0,TRUE)),"Coût invalide",IF(AND(COUNTBLANK(U125:W125)&gt;0,COUNTBLANK(U125:W125)&lt;3),"Cotation après action incomplète",IF(AND(COUNTBLANK(U125:W125)=0,X125=""),"G', O', D' : entiers de 1 à 10",IF(AND(X125&lt;&gt;"",X125&gt;L125),"IPR après action plus élevé","OK")))))))))))))))))</f>
        <v/>
      </c>
      <c r="AC125" s="59" t="str">
        <f>IF(OR(AA125="En retard",AA125="Échéance proche",AA125="Dans les délais",AA125="Échéance manquante",AA125="Action à définir",AA125="À réévaluer"),IF(OR(plan_who="",P125=plan_who),IF(N(Q125)&gt;0,Q125,99999)*1000+ROW(),""),"")</f>
        <v/>
      </c>
      <c r="AD125" s="59" t="str">
        <f>IF(L125="","",L125*1000+1000-ROW())</f>
        <v/>
      </c>
      <c r="AE125" s="59" t="str">
        <f>IF(IF(AA125="En retard",1,IF(AA125="Action à définir",2,IF(AA125="Échéance manquante",3,IF(AA125="Échéance proche",4,IF(AA125="À réévaluer",5,0)))))=0,"",IF(AA125="En retard",1,IF(AA125="Action à définir",2,IF(AA125="Échéance manquante",3,IF(AA125="Échéance proche",4,IF(AA125="À réévaluer",5,0)))))*100000000+IF(N(Q125)&gt;0,Q125,99999)*1000+ROW())</f>
        <v/>
      </c>
      <c r="AF125" s="59" t="str">
        <f>IF(X125&lt;&gt;"",X125,L125)</f>
        <v/>
      </c>
      <c r="AG125" s="59" t="str">
        <f>IF(X125&lt;&gt;"",Y125,IF(L125&lt;&gt;"",M125,""))</f>
        <v/>
      </c>
      <c r="AH125" s="59" t="str">
        <f>IF(L125="","",IF(X125&lt;&gt;"",U125,F125))</f>
        <v/>
      </c>
      <c r="AI125" s="59" t="str">
        <f>IF(L125="","",IF(X125&lt;&gt;"",V125,H125))</f>
        <v/>
      </c>
    </row>
    <row r="126" ht="30" customHeight="1">
      <c r="A126" s="50" t="n"/>
      <c r="B126" s="51" t="n"/>
      <c r="C126" s="51" t="n"/>
      <c r="D126" s="51" t="n"/>
      <c r="E126" s="51" t="n"/>
      <c r="F126" s="52" t="n"/>
      <c r="G126" s="51" t="n"/>
      <c r="H126" s="52" t="n"/>
      <c r="I126" s="51" t="n"/>
      <c r="J126" s="51" t="n"/>
      <c r="K126" s="52" t="n"/>
      <c r="L126" s="53" t="str">
        <f>IF(AND(IF(ISNUMBER(F126),AND(F126&gt;=1,F126&lt;=10,F126=INT(F126)),FALSE),IF(ISNUMBER(H126),AND(H126&gt;=1,H126&lt;=10,H126=INT(H126)),FALSE),IF(ISNUMBER(K126),AND(K126&gt;=1,K126&lt;=10,K126=INT(K126)),FALSE)),F126*H126*K126,"")</f>
        <v/>
      </c>
      <c r="M126" s="54" t="str">
        <f>IF(L126="",IF(D126="","","À coter"),IF(OR(F126&gt;=p_gmin,L126&gt;=p_ipr_crit),"Critique",IF(L126&gt;=p_ipr_act,"Élevée",IF(L126&gt;=p_ipr_watch,"Moyenne","Faible"))))</f>
        <v/>
      </c>
      <c r="N126" s="54" t="str">
        <f>IF(OR(M126="",M126="À coter"),"",IF(OR(M126="Critique",M126="Élevée"),"Oui","Non"))</f>
        <v/>
      </c>
      <c r="O126" s="51" t="n"/>
      <c r="P126" s="51" t="n"/>
      <c r="Q126" s="55" t="n"/>
      <c r="R126" s="50" t="n"/>
      <c r="S126" s="55" t="n"/>
      <c r="T126" s="56" t="n"/>
      <c r="U126" s="52" t="n"/>
      <c r="V126" s="52" t="n"/>
      <c r="W126" s="52" t="n"/>
      <c r="X126" s="53" t="str">
        <f>IF(AND(L126&lt;&gt;"",IF(ISNUMBER(U126),AND(U126&gt;=1,U126&lt;=10,U126=INT(U126)),FALSE),IF(ISNUMBER(V126),AND(V126&gt;=1,V126&lt;=10,V126=INT(V126)),FALSE),IF(ISNUMBER(W126),AND(W126&gt;=1,W126&lt;=10,W126=INT(W126)),FALSE)),U126*V126*W126,"")</f>
        <v/>
      </c>
      <c r="Y126" s="54" t="str">
        <f>IF(X126="","",IF(OR(U126&gt;=p_gmin,X126&gt;=p_ipr_crit),"Critique",IF(X126&gt;=p_ipr_act,"Élevée",IF(X126&gt;=p_ipr_watch,"Moyenne","Faible"))))</f>
        <v/>
      </c>
      <c r="Z126" s="57" t="str">
        <f>IF(X126="","",(L126-X126)/L126)</f>
        <v/>
      </c>
      <c r="AA126" s="54" t="str">
        <f>IF(AND(D126="",O126=""),"",IF(O126="",IF(N126="Oui","Action à définir",IF(N126="Non","Sans action","")),IF(R126="Annulée","Annulée",IF(R126="Réalisée",IF(X126="","À réévaluer","Réalisée"),IF(N(Q126)=0,"Échéance manquante",IF(Q126&lt;p_today,"En retard",IF(Q126-p_today&lt;=p_alert,"Échéance proche","Dans les délais")))))))</f>
        <v/>
      </c>
      <c r="AB126" s="58" t="str">
        <f>IF(AND(A126="",B126="",D126="",F126="",H126="",K126="",O126=""),"",IF(D126="","Mode de défaillance manquant",IF(AND(A126&lt;&gt;"",COUNTIF(am_num,A126)&gt;1),"N° en double",IF(F126="","Gravité G manquante",IF(NOT(IF(ISNUMBER(F126),AND(F126&gt;=1,F126&lt;=10,F126=INT(F126)),FALSE)),"G : entier de 1 à 10",IF(H126="","Occurrence O manquante",IF(NOT(IF(ISNUMBER(H126),AND(H126&gt;=1,H126&lt;=10,H126=INT(H126)),FALSE)),"O : entier de 1 à 10",IF(K126="","Détection D manquante",IF(NOT(IF(ISNUMBER(K126),AND(K126&gt;=1,K126&lt;=10,K126=INT(K126)),FALSE)),"D : entier de 1 à 10",IF(G126="","Cause manquante",IF(AND(O126&lt;&gt;"",P126=""),"Responsable manquant",IF(AND(R126&lt;&gt;"",O126=""),"Statut sans action",IF(AND(R126="Réalisée",N(S126)=0),"Date de réalisation manquante",IF(AND(T126&lt;&gt;"",IF(ISNUMBER(T126),T126&lt;0,TRUE)),"Coût invalide",IF(AND(COUNTBLANK(U126:W126)&gt;0,COUNTBLANK(U126:W126)&lt;3),"Cotation après action incomplète",IF(AND(COUNTBLANK(U126:W126)=0,X126=""),"G', O', D' : entiers de 1 à 10",IF(AND(X126&lt;&gt;"",X126&gt;L126),"IPR après action plus élevé","OK")))))))))))))))))</f>
        <v/>
      </c>
      <c r="AC126" s="59" t="str">
        <f>IF(OR(AA126="En retard",AA126="Échéance proche",AA126="Dans les délais",AA126="Échéance manquante",AA126="Action à définir",AA126="À réévaluer"),IF(OR(plan_who="",P126=plan_who),IF(N(Q126)&gt;0,Q126,99999)*1000+ROW(),""),"")</f>
        <v/>
      </c>
      <c r="AD126" s="59" t="str">
        <f>IF(L126="","",L126*1000+1000-ROW())</f>
        <v/>
      </c>
      <c r="AE126" s="59" t="str">
        <f>IF(IF(AA126="En retard",1,IF(AA126="Action à définir",2,IF(AA126="Échéance manquante",3,IF(AA126="Échéance proche",4,IF(AA126="À réévaluer",5,0)))))=0,"",IF(AA126="En retard",1,IF(AA126="Action à définir",2,IF(AA126="Échéance manquante",3,IF(AA126="Échéance proche",4,IF(AA126="À réévaluer",5,0)))))*100000000+IF(N(Q126)&gt;0,Q126,99999)*1000+ROW())</f>
        <v/>
      </c>
      <c r="AF126" s="59" t="str">
        <f>IF(X126&lt;&gt;"",X126,L126)</f>
        <v/>
      </c>
      <c r="AG126" s="59" t="str">
        <f>IF(X126&lt;&gt;"",Y126,IF(L126&lt;&gt;"",M126,""))</f>
        <v/>
      </c>
      <c r="AH126" s="59" t="str">
        <f>IF(L126="","",IF(X126&lt;&gt;"",U126,F126))</f>
        <v/>
      </c>
      <c r="AI126" s="59" t="str">
        <f>IF(L126="","",IF(X126&lt;&gt;"",V126,H126))</f>
        <v/>
      </c>
    </row>
    <row r="127" ht="30" customHeight="1">
      <c r="A127" s="50" t="n"/>
      <c r="B127" s="51" t="n"/>
      <c r="C127" s="51" t="n"/>
      <c r="D127" s="51" t="n"/>
      <c r="E127" s="51" t="n"/>
      <c r="F127" s="52" t="n"/>
      <c r="G127" s="51" t="n"/>
      <c r="H127" s="52" t="n"/>
      <c r="I127" s="51" t="n"/>
      <c r="J127" s="51" t="n"/>
      <c r="K127" s="52" t="n"/>
      <c r="L127" s="53" t="str">
        <f>IF(AND(IF(ISNUMBER(F127),AND(F127&gt;=1,F127&lt;=10,F127=INT(F127)),FALSE),IF(ISNUMBER(H127),AND(H127&gt;=1,H127&lt;=10,H127=INT(H127)),FALSE),IF(ISNUMBER(K127),AND(K127&gt;=1,K127&lt;=10,K127=INT(K127)),FALSE)),F127*H127*K127,"")</f>
        <v/>
      </c>
      <c r="M127" s="54" t="str">
        <f>IF(L127="",IF(D127="","","À coter"),IF(OR(F127&gt;=p_gmin,L127&gt;=p_ipr_crit),"Critique",IF(L127&gt;=p_ipr_act,"Élevée",IF(L127&gt;=p_ipr_watch,"Moyenne","Faible"))))</f>
        <v/>
      </c>
      <c r="N127" s="54" t="str">
        <f>IF(OR(M127="",M127="À coter"),"",IF(OR(M127="Critique",M127="Élevée"),"Oui","Non"))</f>
        <v/>
      </c>
      <c r="O127" s="51" t="n"/>
      <c r="P127" s="51" t="n"/>
      <c r="Q127" s="55" t="n"/>
      <c r="R127" s="50" t="n"/>
      <c r="S127" s="55" t="n"/>
      <c r="T127" s="56" t="n"/>
      <c r="U127" s="52" t="n"/>
      <c r="V127" s="52" t="n"/>
      <c r="W127" s="52" t="n"/>
      <c r="X127" s="53" t="str">
        <f>IF(AND(L127&lt;&gt;"",IF(ISNUMBER(U127),AND(U127&gt;=1,U127&lt;=10,U127=INT(U127)),FALSE),IF(ISNUMBER(V127),AND(V127&gt;=1,V127&lt;=10,V127=INT(V127)),FALSE),IF(ISNUMBER(W127),AND(W127&gt;=1,W127&lt;=10,W127=INT(W127)),FALSE)),U127*V127*W127,"")</f>
        <v/>
      </c>
      <c r="Y127" s="54" t="str">
        <f>IF(X127="","",IF(OR(U127&gt;=p_gmin,X127&gt;=p_ipr_crit),"Critique",IF(X127&gt;=p_ipr_act,"Élevée",IF(X127&gt;=p_ipr_watch,"Moyenne","Faible"))))</f>
        <v/>
      </c>
      <c r="Z127" s="57" t="str">
        <f>IF(X127="","",(L127-X127)/L127)</f>
        <v/>
      </c>
      <c r="AA127" s="54" t="str">
        <f>IF(AND(D127="",O127=""),"",IF(O127="",IF(N127="Oui","Action à définir",IF(N127="Non","Sans action","")),IF(R127="Annulée","Annulée",IF(R127="Réalisée",IF(X127="","À réévaluer","Réalisée"),IF(N(Q127)=0,"Échéance manquante",IF(Q127&lt;p_today,"En retard",IF(Q127-p_today&lt;=p_alert,"Échéance proche","Dans les délais")))))))</f>
        <v/>
      </c>
      <c r="AB127" s="58" t="str">
        <f>IF(AND(A127="",B127="",D127="",F127="",H127="",K127="",O127=""),"",IF(D127="","Mode de défaillance manquant",IF(AND(A127&lt;&gt;"",COUNTIF(am_num,A127)&gt;1),"N° en double",IF(F127="","Gravité G manquante",IF(NOT(IF(ISNUMBER(F127),AND(F127&gt;=1,F127&lt;=10,F127=INT(F127)),FALSE)),"G : entier de 1 à 10",IF(H127="","Occurrence O manquante",IF(NOT(IF(ISNUMBER(H127),AND(H127&gt;=1,H127&lt;=10,H127=INT(H127)),FALSE)),"O : entier de 1 à 10",IF(K127="","Détection D manquante",IF(NOT(IF(ISNUMBER(K127),AND(K127&gt;=1,K127&lt;=10,K127=INT(K127)),FALSE)),"D : entier de 1 à 10",IF(G127="","Cause manquante",IF(AND(O127&lt;&gt;"",P127=""),"Responsable manquant",IF(AND(R127&lt;&gt;"",O127=""),"Statut sans action",IF(AND(R127="Réalisée",N(S127)=0),"Date de réalisation manquante",IF(AND(T127&lt;&gt;"",IF(ISNUMBER(T127),T127&lt;0,TRUE)),"Coût invalide",IF(AND(COUNTBLANK(U127:W127)&gt;0,COUNTBLANK(U127:W127)&lt;3),"Cotation après action incomplète",IF(AND(COUNTBLANK(U127:W127)=0,X127=""),"G', O', D' : entiers de 1 à 10",IF(AND(X127&lt;&gt;"",X127&gt;L127),"IPR après action plus élevé","OK")))))))))))))))))</f>
        <v/>
      </c>
      <c r="AC127" s="59" t="str">
        <f>IF(OR(AA127="En retard",AA127="Échéance proche",AA127="Dans les délais",AA127="Échéance manquante",AA127="Action à définir",AA127="À réévaluer"),IF(OR(plan_who="",P127=plan_who),IF(N(Q127)&gt;0,Q127,99999)*1000+ROW(),""),"")</f>
        <v/>
      </c>
      <c r="AD127" s="59" t="str">
        <f>IF(L127="","",L127*1000+1000-ROW())</f>
        <v/>
      </c>
      <c r="AE127" s="59" t="str">
        <f>IF(IF(AA127="En retard",1,IF(AA127="Action à définir",2,IF(AA127="Échéance manquante",3,IF(AA127="Échéance proche",4,IF(AA127="À réévaluer",5,0)))))=0,"",IF(AA127="En retard",1,IF(AA127="Action à définir",2,IF(AA127="Échéance manquante",3,IF(AA127="Échéance proche",4,IF(AA127="À réévaluer",5,0)))))*100000000+IF(N(Q127)&gt;0,Q127,99999)*1000+ROW())</f>
        <v/>
      </c>
      <c r="AF127" s="59" t="str">
        <f>IF(X127&lt;&gt;"",X127,L127)</f>
        <v/>
      </c>
      <c r="AG127" s="59" t="str">
        <f>IF(X127&lt;&gt;"",Y127,IF(L127&lt;&gt;"",M127,""))</f>
        <v/>
      </c>
      <c r="AH127" s="59" t="str">
        <f>IF(L127="","",IF(X127&lt;&gt;"",U127,F127))</f>
        <v/>
      </c>
      <c r="AI127" s="59" t="str">
        <f>IF(L127="","",IF(X127&lt;&gt;"",V127,H127))</f>
        <v/>
      </c>
    </row>
    <row r="128" ht="30" customHeight="1">
      <c r="A128" s="50" t="n"/>
      <c r="B128" s="51" t="n"/>
      <c r="C128" s="51" t="n"/>
      <c r="D128" s="51" t="n"/>
      <c r="E128" s="51" t="n"/>
      <c r="F128" s="52" t="n"/>
      <c r="G128" s="51" t="n"/>
      <c r="H128" s="52" t="n"/>
      <c r="I128" s="51" t="n"/>
      <c r="J128" s="51" t="n"/>
      <c r="K128" s="52" t="n"/>
      <c r="L128" s="53" t="str">
        <f>IF(AND(IF(ISNUMBER(F128),AND(F128&gt;=1,F128&lt;=10,F128=INT(F128)),FALSE),IF(ISNUMBER(H128),AND(H128&gt;=1,H128&lt;=10,H128=INT(H128)),FALSE),IF(ISNUMBER(K128),AND(K128&gt;=1,K128&lt;=10,K128=INT(K128)),FALSE)),F128*H128*K128,"")</f>
        <v/>
      </c>
      <c r="M128" s="54" t="str">
        <f>IF(L128="",IF(D128="","","À coter"),IF(OR(F128&gt;=p_gmin,L128&gt;=p_ipr_crit),"Critique",IF(L128&gt;=p_ipr_act,"Élevée",IF(L128&gt;=p_ipr_watch,"Moyenne","Faible"))))</f>
        <v/>
      </c>
      <c r="N128" s="54" t="str">
        <f>IF(OR(M128="",M128="À coter"),"",IF(OR(M128="Critique",M128="Élevée"),"Oui","Non"))</f>
        <v/>
      </c>
      <c r="O128" s="51" t="n"/>
      <c r="P128" s="51" t="n"/>
      <c r="Q128" s="55" t="n"/>
      <c r="R128" s="50" t="n"/>
      <c r="S128" s="55" t="n"/>
      <c r="T128" s="56" t="n"/>
      <c r="U128" s="52" t="n"/>
      <c r="V128" s="52" t="n"/>
      <c r="W128" s="52" t="n"/>
      <c r="X128" s="53" t="str">
        <f>IF(AND(L128&lt;&gt;"",IF(ISNUMBER(U128),AND(U128&gt;=1,U128&lt;=10,U128=INT(U128)),FALSE),IF(ISNUMBER(V128),AND(V128&gt;=1,V128&lt;=10,V128=INT(V128)),FALSE),IF(ISNUMBER(W128),AND(W128&gt;=1,W128&lt;=10,W128=INT(W128)),FALSE)),U128*V128*W128,"")</f>
        <v/>
      </c>
      <c r="Y128" s="54" t="str">
        <f>IF(X128="","",IF(OR(U128&gt;=p_gmin,X128&gt;=p_ipr_crit),"Critique",IF(X128&gt;=p_ipr_act,"Élevée",IF(X128&gt;=p_ipr_watch,"Moyenne","Faible"))))</f>
        <v/>
      </c>
      <c r="Z128" s="57" t="str">
        <f>IF(X128="","",(L128-X128)/L128)</f>
        <v/>
      </c>
      <c r="AA128" s="54" t="str">
        <f>IF(AND(D128="",O128=""),"",IF(O128="",IF(N128="Oui","Action à définir",IF(N128="Non","Sans action","")),IF(R128="Annulée","Annulée",IF(R128="Réalisée",IF(X128="","À réévaluer","Réalisée"),IF(N(Q128)=0,"Échéance manquante",IF(Q128&lt;p_today,"En retard",IF(Q128-p_today&lt;=p_alert,"Échéance proche","Dans les délais")))))))</f>
        <v/>
      </c>
      <c r="AB128" s="58" t="str">
        <f>IF(AND(A128="",B128="",D128="",F128="",H128="",K128="",O128=""),"",IF(D128="","Mode de défaillance manquant",IF(AND(A128&lt;&gt;"",COUNTIF(am_num,A128)&gt;1),"N° en double",IF(F128="","Gravité G manquante",IF(NOT(IF(ISNUMBER(F128),AND(F128&gt;=1,F128&lt;=10,F128=INT(F128)),FALSE)),"G : entier de 1 à 10",IF(H128="","Occurrence O manquante",IF(NOT(IF(ISNUMBER(H128),AND(H128&gt;=1,H128&lt;=10,H128=INT(H128)),FALSE)),"O : entier de 1 à 10",IF(K128="","Détection D manquante",IF(NOT(IF(ISNUMBER(K128),AND(K128&gt;=1,K128&lt;=10,K128=INT(K128)),FALSE)),"D : entier de 1 à 10",IF(G128="","Cause manquante",IF(AND(O128&lt;&gt;"",P128=""),"Responsable manquant",IF(AND(R128&lt;&gt;"",O128=""),"Statut sans action",IF(AND(R128="Réalisée",N(S128)=0),"Date de réalisation manquante",IF(AND(T128&lt;&gt;"",IF(ISNUMBER(T128),T128&lt;0,TRUE)),"Coût invalide",IF(AND(COUNTBLANK(U128:W128)&gt;0,COUNTBLANK(U128:W128)&lt;3),"Cotation après action incomplète",IF(AND(COUNTBLANK(U128:W128)=0,X128=""),"G', O', D' : entiers de 1 à 10",IF(AND(X128&lt;&gt;"",X128&gt;L128),"IPR après action plus élevé","OK")))))))))))))))))</f>
        <v/>
      </c>
      <c r="AC128" s="59" t="str">
        <f>IF(OR(AA128="En retard",AA128="Échéance proche",AA128="Dans les délais",AA128="Échéance manquante",AA128="Action à définir",AA128="À réévaluer"),IF(OR(plan_who="",P128=plan_who),IF(N(Q128)&gt;0,Q128,99999)*1000+ROW(),""),"")</f>
        <v/>
      </c>
      <c r="AD128" s="59" t="str">
        <f>IF(L128="","",L128*1000+1000-ROW())</f>
        <v/>
      </c>
      <c r="AE128" s="59" t="str">
        <f>IF(IF(AA128="En retard",1,IF(AA128="Action à définir",2,IF(AA128="Échéance manquante",3,IF(AA128="Échéance proche",4,IF(AA128="À réévaluer",5,0)))))=0,"",IF(AA128="En retard",1,IF(AA128="Action à définir",2,IF(AA128="Échéance manquante",3,IF(AA128="Échéance proche",4,IF(AA128="À réévaluer",5,0)))))*100000000+IF(N(Q128)&gt;0,Q128,99999)*1000+ROW())</f>
        <v/>
      </c>
      <c r="AF128" s="59" t="str">
        <f>IF(X128&lt;&gt;"",X128,L128)</f>
        <v/>
      </c>
      <c r="AG128" s="59" t="str">
        <f>IF(X128&lt;&gt;"",Y128,IF(L128&lt;&gt;"",M128,""))</f>
        <v/>
      </c>
      <c r="AH128" s="59" t="str">
        <f>IF(L128="","",IF(X128&lt;&gt;"",U128,F128))</f>
        <v/>
      </c>
      <c r="AI128" s="59" t="str">
        <f>IF(L128="","",IF(X128&lt;&gt;"",V128,H128))</f>
        <v/>
      </c>
    </row>
    <row r="129" ht="30" customHeight="1">
      <c r="A129" s="50" t="n"/>
      <c r="B129" s="51" t="n"/>
      <c r="C129" s="51" t="n"/>
      <c r="D129" s="51" t="n"/>
      <c r="E129" s="51" t="n"/>
      <c r="F129" s="52" t="n"/>
      <c r="G129" s="51" t="n"/>
      <c r="H129" s="52" t="n"/>
      <c r="I129" s="51" t="n"/>
      <c r="J129" s="51" t="n"/>
      <c r="K129" s="52" t="n"/>
      <c r="L129" s="53" t="str">
        <f>IF(AND(IF(ISNUMBER(F129),AND(F129&gt;=1,F129&lt;=10,F129=INT(F129)),FALSE),IF(ISNUMBER(H129),AND(H129&gt;=1,H129&lt;=10,H129=INT(H129)),FALSE),IF(ISNUMBER(K129),AND(K129&gt;=1,K129&lt;=10,K129=INT(K129)),FALSE)),F129*H129*K129,"")</f>
        <v/>
      </c>
      <c r="M129" s="54" t="str">
        <f>IF(L129="",IF(D129="","","À coter"),IF(OR(F129&gt;=p_gmin,L129&gt;=p_ipr_crit),"Critique",IF(L129&gt;=p_ipr_act,"Élevée",IF(L129&gt;=p_ipr_watch,"Moyenne","Faible"))))</f>
        <v/>
      </c>
      <c r="N129" s="54" t="str">
        <f>IF(OR(M129="",M129="À coter"),"",IF(OR(M129="Critique",M129="Élevée"),"Oui","Non"))</f>
        <v/>
      </c>
      <c r="O129" s="51" t="n"/>
      <c r="P129" s="51" t="n"/>
      <c r="Q129" s="55" t="n"/>
      <c r="R129" s="50" t="n"/>
      <c r="S129" s="55" t="n"/>
      <c r="T129" s="56" t="n"/>
      <c r="U129" s="52" t="n"/>
      <c r="V129" s="52" t="n"/>
      <c r="W129" s="52" t="n"/>
      <c r="X129" s="53" t="str">
        <f>IF(AND(L129&lt;&gt;"",IF(ISNUMBER(U129),AND(U129&gt;=1,U129&lt;=10,U129=INT(U129)),FALSE),IF(ISNUMBER(V129),AND(V129&gt;=1,V129&lt;=10,V129=INT(V129)),FALSE),IF(ISNUMBER(W129),AND(W129&gt;=1,W129&lt;=10,W129=INT(W129)),FALSE)),U129*V129*W129,"")</f>
        <v/>
      </c>
      <c r="Y129" s="54" t="str">
        <f>IF(X129="","",IF(OR(U129&gt;=p_gmin,X129&gt;=p_ipr_crit),"Critique",IF(X129&gt;=p_ipr_act,"Élevée",IF(X129&gt;=p_ipr_watch,"Moyenne","Faible"))))</f>
        <v/>
      </c>
      <c r="Z129" s="57" t="str">
        <f>IF(X129="","",(L129-X129)/L129)</f>
        <v/>
      </c>
      <c r="AA129" s="54" t="str">
        <f>IF(AND(D129="",O129=""),"",IF(O129="",IF(N129="Oui","Action à définir",IF(N129="Non","Sans action","")),IF(R129="Annulée","Annulée",IF(R129="Réalisée",IF(X129="","À réévaluer","Réalisée"),IF(N(Q129)=0,"Échéance manquante",IF(Q129&lt;p_today,"En retard",IF(Q129-p_today&lt;=p_alert,"Échéance proche","Dans les délais")))))))</f>
        <v/>
      </c>
      <c r="AB129" s="58" t="str">
        <f>IF(AND(A129="",B129="",D129="",F129="",H129="",K129="",O129=""),"",IF(D129="","Mode de défaillance manquant",IF(AND(A129&lt;&gt;"",COUNTIF(am_num,A129)&gt;1),"N° en double",IF(F129="","Gravité G manquante",IF(NOT(IF(ISNUMBER(F129),AND(F129&gt;=1,F129&lt;=10,F129=INT(F129)),FALSE)),"G : entier de 1 à 10",IF(H129="","Occurrence O manquante",IF(NOT(IF(ISNUMBER(H129),AND(H129&gt;=1,H129&lt;=10,H129=INT(H129)),FALSE)),"O : entier de 1 à 10",IF(K129="","Détection D manquante",IF(NOT(IF(ISNUMBER(K129),AND(K129&gt;=1,K129&lt;=10,K129=INT(K129)),FALSE)),"D : entier de 1 à 10",IF(G129="","Cause manquante",IF(AND(O129&lt;&gt;"",P129=""),"Responsable manquant",IF(AND(R129&lt;&gt;"",O129=""),"Statut sans action",IF(AND(R129="Réalisée",N(S129)=0),"Date de réalisation manquante",IF(AND(T129&lt;&gt;"",IF(ISNUMBER(T129),T129&lt;0,TRUE)),"Coût invalide",IF(AND(COUNTBLANK(U129:W129)&gt;0,COUNTBLANK(U129:W129)&lt;3),"Cotation après action incomplète",IF(AND(COUNTBLANK(U129:W129)=0,X129=""),"G', O', D' : entiers de 1 à 10",IF(AND(X129&lt;&gt;"",X129&gt;L129),"IPR après action plus élevé","OK")))))))))))))))))</f>
        <v/>
      </c>
      <c r="AC129" s="59" t="str">
        <f>IF(OR(AA129="En retard",AA129="Échéance proche",AA129="Dans les délais",AA129="Échéance manquante",AA129="Action à définir",AA129="À réévaluer"),IF(OR(plan_who="",P129=plan_who),IF(N(Q129)&gt;0,Q129,99999)*1000+ROW(),""),"")</f>
        <v/>
      </c>
      <c r="AD129" s="59" t="str">
        <f>IF(L129="","",L129*1000+1000-ROW())</f>
        <v/>
      </c>
      <c r="AE129" s="59" t="str">
        <f>IF(IF(AA129="En retard",1,IF(AA129="Action à définir",2,IF(AA129="Échéance manquante",3,IF(AA129="Échéance proche",4,IF(AA129="À réévaluer",5,0)))))=0,"",IF(AA129="En retard",1,IF(AA129="Action à définir",2,IF(AA129="Échéance manquante",3,IF(AA129="Échéance proche",4,IF(AA129="À réévaluer",5,0)))))*100000000+IF(N(Q129)&gt;0,Q129,99999)*1000+ROW())</f>
        <v/>
      </c>
      <c r="AF129" s="59" t="str">
        <f>IF(X129&lt;&gt;"",X129,L129)</f>
        <v/>
      </c>
      <c r="AG129" s="59" t="str">
        <f>IF(X129&lt;&gt;"",Y129,IF(L129&lt;&gt;"",M129,""))</f>
        <v/>
      </c>
      <c r="AH129" s="59" t="str">
        <f>IF(L129="","",IF(X129&lt;&gt;"",U129,F129))</f>
        <v/>
      </c>
      <c r="AI129" s="59" t="str">
        <f>IF(L129="","",IF(X129&lt;&gt;"",V129,H129))</f>
        <v/>
      </c>
    </row>
    <row r="130" ht="30" customHeight="1">
      <c r="A130" s="50" t="n"/>
      <c r="B130" s="51" t="n"/>
      <c r="C130" s="51" t="n"/>
      <c r="D130" s="51" t="n"/>
      <c r="E130" s="51" t="n"/>
      <c r="F130" s="52" t="n"/>
      <c r="G130" s="51" t="n"/>
      <c r="H130" s="52" t="n"/>
      <c r="I130" s="51" t="n"/>
      <c r="J130" s="51" t="n"/>
      <c r="K130" s="52" t="n"/>
      <c r="L130" s="53" t="str">
        <f>IF(AND(IF(ISNUMBER(F130),AND(F130&gt;=1,F130&lt;=10,F130=INT(F130)),FALSE),IF(ISNUMBER(H130),AND(H130&gt;=1,H130&lt;=10,H130=INT(H130)),FALSE),IF(ISNUMBER(K130),AND(K130&gt;=1,K130&lt;=10,K130=INT(K130)),FALSE)),F130*H130*K130,"")</f>
        <v/>
      </c>
      <c r="M130" s="54" t="str">
        <f>IF(L130="",IF(D130="","","À coter"),IF(OR(F130&gt;=p_gmin,L130&gt;=p_ipr_crit),"Critique",IF(L130&gt;=p_ipr_act,"Élevée",IF(L130&gt;=p_ipr_watch,"Moyenne","Faible"))))</f>
        <v/>
      </c>
      <c r="N130" s="54" t="str">
        <f>IF(OR(M130="",M130="À coter"),"",IF(OR(M130="Critique",M130="Élevée"),"Oui","Non"))</f>
        <v/>
      </c>
      <c r="O130" s="51" t="n"/>
      <c r="P130" s="51" t="n"/>
      <c r="Q130" s="55" t="n"/>
      <c r="R130" s="50" t="n"/>
      <c r="S130" s="55" t="n"/>
      <c r="T130" s="56" t="n"/>
      <c r="U130" s="52" t="n"/>
      <c r="V130" s="52" t="n"/>
      <c r="W130" s="52" t="n"/>
      <c r="X130" s="53" t="str">
        <f>IF(AND(L130&lt;&gt;"",IF(ISNUMBER(U130),AND(U130&gt;=1,U130&lt;=10,U130=INT(U130)),FALSE),IF(ISNUMBER(V130),AND(V130&gt;=1,V130&lt;=10,V130=INT(V130)),FALSE),IF(ISNUMBER(W130),AND(W130&gt;=1,W130&lt;=10,W130=INT(W130)),FALSE)),U130*V130*W130,"")</f>
        <v/>
      </c>
      <c r="Y130" s="54" t="str">
        <f>IF(X130="","",IF(OR(U130&gt;=p_gmin,X130&gt;=p_ipr_crit),"Critique",IF(X130&gt;=p_ipr_act,"Élevée",IF(X130&gt;=p_ipr_watch,"Moyenne","Faible"))))</f>
        <v/>
      </c>
      <c r="Z130" s="57" t="str">
        <f>IF(X130="","",(L130-X130)/L130)</f>
        <v/>
      </c>
      <c r="AA130" s="54" t="str">
        <f>IF(AND(D130="",O130=""),"",IF(O130="",IF(N130="Oui","Action à définir",IF(N130="Non","Sans action","")),IF(R130="Annulée","Annulée",IF(R130="Réalisée",IF(X130="","À réévaluer","Réalisée"),IF(N(Q130)=0,"Échéance manquante",IF(Q130&lt;p_today,"En retard",IF(Q130-p_today&lt;=p_alert,"Échéance proche","Dans les délais")))))))</f>
        <v/>
      </c>
      <c r="AB130" s="58" t="str">
        <f>IF(AND(A130="",B130="",D130="",F130="",H130="",K130="",O130=""),"",IF(D130="","Mode de défaillance manquant",IF(AND(A130&lt;&gt;"",COUNTIF(am_num,A130)&gt;1),"N° en double",IF(F130="","Gravité G manquante",IF(NOT(IF(ISNUMBER(F130),AND(F130&gt;=1,F130&lt;=10,F130=INT(F130)),FALSE)),"G : entier de 1 à 10",IF(H130="","Occurrence O manquante",IF(NOT(IF(ISNUMBER(H130),AND(H130&gt;=1,H130&lt;=10,H130=INT(H130)),FALSE)),"O : entier de 1 à 10",IF(K130="","Détection D manquante",IF(NOT(IF(ISNUMBER(K130),AND(K130&gt;=1,K130&lt;=10,K130=INT(K130)),FALSE)),"D : entier de 1 à 10",IF(G130="","Cause manquante",IF(AND(O130&lt;&gt;"",P130=""),"Responsable manquant",IF(AND(R130&lt;&gt;"",O130=""),"Statut sans action",IF(AND(R130="Réalisée",N(S130)=0),"Date de réalisation manquante",IF(AND(T130&lt;&gt;"",IF(ISNUMBER(T130),T130&lt;0,TRUE)),"Coût invalide",IF(AND(COUNTBLANK(U130:W130)&gt;0,COUNTBLANK(U130:W130)&lt;3),"Cotation après action incomplète",IF(AND(COUNTBLANK(U130:W130)=0,X130=""),"G', O', D' : entiers de 1 à 10",IF(AND(X130&lt;&gt;"",X130&gt;L130),"IPR après action plus élevé","OK")))))))))))))))))</f>
        <v/>
      </c>
      <c r="AC130" s="59" t="str">
        <f>IF(OR(AA130="En retard",AA130="Échéance proche",AA130="Dans les délais",AA130="Échéance manquante",AA130="Action à définir",AA130="À réévaluer"),IF(OR(plan_who="",P130=plan_who),IF(N(Q130)&gt;0,Q130,99999)*1000+ROW(),""),"")</f>
        <v/>
      </c>
      <c r="AD130" s="59" t="str">
        <f>IF(L130="","",L130*1000+1000-ROW())</f>
        <v/>
      </c>
      <c r="AE130" s="59" t="str">
        <f>IF(IF(AA130="En retard",1,IF(AA130="Action à définir",2,IF(AA130="Échéance manquante",3,IF(AA130="Échéance proche",4,IF(AA130="À réévaluer",5,0)))))=0,"",IF(AA130="En retard",1,IF(AA130="Action à définir",2,IF(AA130="Échéance manquante",3,IF(AA130="Échéance proche",4,IF(AA130="À réévaluer",5,0)))))*100000000+IF(N(Q130)&gt;0,Q130,99999)*1000+ROW())</f>
        <v/>
      </c>
      <c r="AF130" s="59" t="str">
        <f>IF(X130&lt;&gt;"",X130,L130)</f>
        <v/>
      </c>
      <c r="AG130" s="59" t="str">
        <f>IF(X130&lt;&gt;"",Y130,IF(L130&lt;&gt;"",M130,""))</f>
        <v/>
      </c>
      <c r="AH130" s="59" t="str">
        <f>IF(L130="","",IF(X130&lt;&gt;"",U130,F130))</f>
        <v/>
      </c>
      <c r="AI130" s="59" t="str">
        <f>IF(L130="","",IF(X130&lt;&gt;"",V130,H130))</f>
        <v/>
      </c>
    </row>
    <row r="131" ht="30" customHeight="1">
      <c r="A131" s="50" t="n"/>
      <c r="B131" s="51" t="n"/>
      <c r="C131" s="51" t="n"/>
      <c r="D131" s="51" t="n"/>
      <c r="E131" s="51" t="n"/>
      <c r="F131" s="52" t="n"/>
      <c r="G131" s="51" t="n"/>
      <c r="H131" s="52" t="n"/>
      <c r="I131" s="51" t="n"/>
      <c r="J131" s="51" t="n"/>
      <c r="K131" s="52" t="n"/>
      <c r="L131" s="53" t="str">
        <f>IF(AND(IF(ISNUMBER(F131),AND(F131&gt;=1,F131&lt;=10,F131=INT(F131)),FALSE),IF(ISNUMBER(H131),AND(H131&gt;=1,H131&lt;=10,H131=INT(H131)),FALSE),IF(ISNUMBER(K131),AND(K131&gt;=1,K131&lt;=10,K131=INT(K131)),FALSE)),F131*H131*K131,"")</f>
        <v/>
      </c>
      <c r="M131" s="54" t="str">
        <f>IF(L131="",IF(D131="","","À coter"),IF(OR(F131&gt;=p_gmin,L131&gt;=p_ipr_crit),"Critique",IF(L131&gt;=p_ipr_act,"Élevée",IF(L131&gt;=p_ipr_watch,"Moyenne","Faible"))))</f>
        <v/>
      </c>
      <c r="N131" s="54" t="str">
        <f>IF(OR(M131="",M131="À coter"),"",IF(OR(M131="Critique",M131="Élevée"),"Oui","Non"))</f>
        <v/>
      </c>
      <c r="O131" s="51" t="n"/>
      <c r="P131" s="51" t="n"/>
      <c r="Q131" s="55" t="n"/>
      <c r="R131" s="50" t="n"/>
      <c r="S131" s="55" t="n"/>
      <c r="T131" s="56" t="n"/>
      <c r="U131" s="52" t="n"/>
      <c r="V131" s="52" t="n"/>
      <c r="W131" s="52" t="n"/>
      <c r="X131" s="53" t="str">
        <f>IF(AND(L131&lt;&gt;"",IF(ISNUMBER(U131),AND(U131&gt;=1,U131&lt;=10,U131=INT(U131)),FALSE),IF(ISNUMBER(V131),AND(V131&gt;=1,V131&lt;=10,V131=INT(V131)),FALSE),IF(ISNUMBER(W131),AND(W131&gt;=1,W131&lt;=10,W131=INT(W131)),FALSE)),U131*V131*W131,"")</f>
        <v/>
      </c>
      <c r="Y131" s="54" t="str">
        <f>IF(X131="","",IF(OR(U131&gt;=p_gmin,X131&gt;=p_ipr_crit),"Critique",IF(X131&gt;=p_ipr_act,"Élevée",IF(X131&gt;=p_ipr_watch,"Moyenne","Faible"))))</f>
        <v/>
      </c>
      <c r="Z131" s="57" t="str">
        <f>IF(X131="","",(L131-X131)/L131)</f>
        <v/>
      </c>
      <c r="AA131" s="54" t="str">
        <f>IF(AND(D131="",O131=""),"",IF(O131="",IF(N131="Oui","Action à définir",IF(N131="Non","Sans action","")),IF(R131="Annulée","Annulée",IF(R131="Réalisée",IF(X131="","À réévaluer","Réalisée"),IF(N(Q131)=0,"Échéance manquante",IF(Q131&lt;p_today,"En retard",IF(Q131-p_today&lt;=p_alert,"Échéance proche","Dans les délais")))))))</f>
        <v/>
      </c>
      <c r="AB131" s="58" t="str">
        <f>IF(AND(A131="",B131="",D131="",F131="",H131="",K131="",O131=""),"",IF(D131="","Mode de défaillance manquant",IF(AND(A131&lt;&gt;"",COUNTIF(am_num,A131)&gt;1),"N° en double",IF(F131="","Gravité G manquante",IF(NOT(IF(ISNUMBER(F131),AND(F131&gt;=1,F131&lt;=10,F131=INT(F131)),FALSE)),"G : entier de 1 à 10",IF(H131="","Occurrence O manquante",IF(NOT(IF(ISNUMBER(H131),AND(H131&gt;=1,H131&lt;=10,H131=INT(H131)),FALSE)),"O : entier de 1 à 10",IF(K131="","Détection D manquante",IF(NOT(IF(ISNUMBER(K131),AND(K131&gt;=1,K131&lt;=10,K131=INT(K131)),FALSE)),"D : entier de 1 à 10",IF(G131="","Cause manquante",IF(AND(O131&lt;&gt;"",P131=""),"Responsable manquant",IF(AND(R131&lt;&gt;"",O131=""),"Statut sans action",IF(AND(R131="Réalisée",N(S131)=0),"Date de réalisation manquante",IF(AND(T131&lt;&gt;"",IF(ISNUMBER(T131),T131&lt;0,TRUE)),"Coût invalide",IF(AND(COUNTBLANK(U131:W131)&gt;0,COUNTBLANK(U131:W131)&lt;3),"Cotation après action incomplète",IF(AND(COUNTBLANK(U131:W131)=0,X131=""),"G', O', D' : entiers de 1 à 10",IF(AND(X131&lt;&gt;"",X131&gt;L131),"IPR après action plus élevé","OK")))))))))))))))))</f>
        <v/>
      </c>
      <c r="AC131" s="59" t="str">
        <f>IF(OR(AA131="En retard",AA131="Échéance proche",AA131="Dans les délais",AA131="Échéance manquante",AA131="Action à définir",AA131="À réévaluer"),IF(OR(plan_who="",P131=plan_who),IF(N(Q131)&gt;0,Q131,99999)*1000+ROW(),""),"")</f>
        <v/>
      </c>
      <c r="AD131" s="59" t="str">
        <f>IF(L131="","",L131*1000+1000-ROW())</f>
        <v/>
      </c>
      <c r="AE131" s="59" t="str">
        <f>IF(IF(AA131="En retard",1,IF(AA131="Action à définir",2,IF(AA131="Échéance manquante",3,IF(AA131="Échéance proche",4,IF(AA131="À réévaluer",5,0)))))=0,"",IF(AA131="En retard",1,IF(AA131="Action à définir",2,IF(AA131="Échéance manquante",3,IF(AA131="Échéance proche",4,IF(AA131="À réévaluer",5,0)))))*100000000+IF(N(Q131)&gt;0,Q131,99999)*1000+ROW())</f>
        <v/>
      </c>
      <c r="AF131" s="59" t="str">
        <f>IF(X131&lt;&gt;"",X131,L131)</f>
        <v/>
      </c>
      <c r="AG131" s="59" t="str">
        <f>IF(X131&lt;&gt;"",Y131,IF(L131&lt;&gt;"",M131,""))</f>
        <v/>
      </c>
      <c r="AH131" s="59" t="str">
        <f>IF(L131="","",IF(X131&lt;&gt;"",U131,F131))</f>
        <v/>
      </c>
      <c r="AI131" s="59" t="str">
        <f>IF(L131="","",IF(X131&lt;&gt;"",V131,H131))</f>
        <v/>
      </c>
    </row>
    <row r="132" ht="30" customHeight="1">
      <c r="A132" s="50" t="n"/>
      <c r="B132" s="51" t="n"/>
      <c r="C132" s="51" t="n"/>
      <c r="D132" s="51" t="n"/>
      <c r="E132" s="51" t="n"/>
      <c r="F132" s="52" t="n"/>
      <c r="G132" s="51" t="n"/>
      <c r="H132" s="52" t="n"/>
      <c r="I132" s="51" t="n"/>
      <c r="J132" s="51" t="n"/>
      <c r="K132" s="52" t="n"/>
      <c r="L132" s="53" t="str">
        <f>IF(AND(IF(ISNUMBER(F132),AND(F132&gt;=1,F132&lt;=10,F132=INT(F132)),FALSE),IF(ISNUMBER(H132),AND(H132&gt;=1,H132&lt;=10,H132=INT(H132)),FALSE),IF(ISNUMBER(K132),AND(K132&gt;=1,K132&lt;=10,K132=INT(K132)),FALSE)),F132*H132*K132,"")</f>
        <v/>
      </c>
      <c r="M132" s="54" t="str">
        <f>IF(L132="",IF(D132="","","À coter"),IF(OR(F132&gt;=p_gmin,L132&gt;=p_ipr_crit),"Critique",IF(L132&gt;=p_ipr_act,"Élevée",IF(L132&gt;=p_ipr_watch,"Moyenne","Faible"))))</f>
        <v/>
      </c>
      <c r="N132" s="54" t="str">
        <f>IF(OR(M132="",M132="À coter"),"",IF(OR(M132="Critique",M132="Élevée"),"Oui","Non"))</f>
        <v/>
      </c>
      <c r="O132" s="51" t="n"/>
      <c r="P132" s="51" t="n"/>
      <c r="Q132" s="55" t="n"/>
      <c r="R132" s="50" t="n"/>
      <c r="S132" s="55" t="n"/>
      <c r="T132" s="56" t="n"/>
      <c r="U132" s="52" t="n"/>
      <c r="V132" s="52" t="n"/>
      <c r="W132" s="52" t="n"/>
      <c r="X132" s="53" t="str">
        <f>IF(AND(L132&lt;&gt;"",IF(ISNUMBER(U132),AND(U132&gt;=1,U132&lt;=10,U132=INT(U132)),FALSE),IF(ISNUMBER(V132),AND(V132&gt;=1,V132&lt;=10,V132=INT(V132)),FALSE),IF(ISNUMBER(W132),AND(W132&gt;=1,W132&lt;=10,W132=INT(W132)),FALSE)),U132*V132*W132,"")</f>
        <v/>
      </c>
      <c r="Y132" s="54" t="str">
        <f>IF(X132="","",IF(OR(U132&gt;=p_gmin,X132&gt;=p_ipr_crit),"Critique",IF(X132&gt;=p_ipr_act,"Élevée",IF(X132&gt;=p_ipr_watch,"Moyenne","Faible"))))</f>
        <v/>
      </c>
      <c r="Z132" s="57" t="str">
        <f>IF(X132="","",(L132-X132)/L132)</f>
        <v/>
      </c>
      <c r="AA132" s="54" t="str">
        <f>IF(AND(D132="",O132=""),"",IF(O132="",IF(N132="Oui","Action à définir",IF(N132="Non","Sans action","")),IF(R132="Annulée","Annulée",IF(R132="Réalisée",IF(X132="","À réévaluer","Réalisée"),IF(N(Q132)=0,"Échéance manquante",IF(Q132&lt;p_today,"En retard",IF(Q132-p_today&lt;=p_alert,"Échéance proche","Dans les délais")))))))</f>
        <v/>
      </c>
      <c r="AB132" s="58" t="str">
        <f>IF(AND(A132="",B132="",D132="",F132="",H132="",K132="",O132=""),"",IF(D132="","Mode de défaillance manquant",IF(AND(A132&lt;&gt;"",COUNTIF(am_num,A132)&gt;1),"N° en double",IF(F132="","Gravité G manquante",IF(NOT(IF(ISNUMBER(F132),AND(F132&gt;=1,F132&lt;=10,F132=INT(F132)),FALSE)),"G : entier de 1 à 10",IF(H132="","Occurrence O manquante",IF(NOT(IF(ISNUMBER(H132),AND(H132&gt;=1,H132&lt;=10,H132=INT(H132)),FALSE)),"O : entier de 1 à 10",IF(K132="","Détection D manquante",IF(NOT(IF(ISNUMBER(K132),AND(K132&gt;=1,K132&lt;=10,K132=INT(K132)),FALSE)),"D : entier de 1 à 10",IF(G132="","Cause manquante",IF(AND(O132&lt;&gt;"",P132=""),"Responsable manquant",IF(AND(R132&lt;&gt;"",O132=""),"Statut sans action",IF(AND(R132="Réalisée",N(S132)=0),"Date de réalisation manquante",IF(AND(T132&lt;&gt;"",IF(ISNUMBER(T132),T132&lt;0,TRUE)),"Coût invalide",IF(AND(COUNTBLANK(U132:W132)&gt;0,COUNTBLANK(U132:W132)&lt;3),"Cotation après action incomplète",IF(AND(COUNTBLANK(U132:W132)=0,X132=""),"G', O', D' : entiers de 1 à 10",IF(AND(X132&lt;&gt;"",X132&gt;L132),"IPR après action plus élevé","OK")))))))))))))))))</f>
        <v/>
      </c>
      <c r="AC132" s="59" t="str">
        <f>IF(OR(AA132="En retard",AA132="Échéance proche",AA132="Dans les délais",AA132="Échéance manquante",AA132="Action à définir",AA132="À réévaluer"),IF(OR(plan_who="",P132=plan_who),IF(N(Q132)&gt;0,Q132,99999)*1000+ROW(),""),"")</f>
        <v/>
      </c>
      <c r="AD132" s="59" t="str">
        <f>IF(L132="","",L132*1000+1000-ROW())</f>
        <v/>
      </c>
      <c r="AE132" s="59" t="str">
        <f>IF(IF(AA132="En retard",1,IF(AA132="Action à définir",2,IF(AA132="Échéance manquante",3,IF(AA132="Échéance proche",4,IF(AA132="À réévaluer",5,0)))))=0,"",IF(AA132="En retard",1,IF(AA132="Action à définir",2,IF(AA132="Échéance manquante",3,IF(AA132="Échéance proche",4,IF(AA132="À réévaluer",5,0)))))*100000000+IF(N(Q132)&gt;0,Q132,99999)*1000+ROW())</f>
        <v/>
      </c>
      <c r="AF132" s="59" t="str">
        <f>IF(X132&lt;&gt;"",X132,L132)</f>
        <v/>
      </c>
      <c r="AG132" s="59" t="str">
        <f>IF(X132&lt;&gt;"",Y132,IF(L132&lt;&gt;"",M132,""))</f>
        <v/>
      </c>
      <c r="AH132" s="59" t="str">
        <f>IF(L132="","",IF(X132&lt;&gt;"",U132,F132))</f>
        <v/>
      </c>
      <c r="AI132" s="59" t="str">
        <f>IF(L132="","",IF(X132&lt;&gt;"",V132,H132))</f>
        <v/>
      </c>
    </row>
    <row r="133" ht="30" customHeight="1">
      <c r="A133" s="50" t="n"/>
      <c r="B133" s="51" t="n"/>
      <c r="C133" s="51" t="n"/>
      <c r="D133" s="51" t="n"/>
      <c r="E133" s="51" t="n"/>
      <c r="F133" s="52" t="n"/>
      <c r="G133" s="51" t="n"/>
      <c r="H133" s="52" t="n"/>
      <c r="I133" s="51" t="n"/>
      <c r="J133" s="51" t="n"/>
      <c r="K133" s="52" t="n"/>
      <c r="L133" s="53" t="str">
        <f>IF(AND(IF(ISNUMBER(F133),AND(F133&gt;=1,F133&lt;=10,F133=INT(F133)),FALSE),IF(ISNUMBER(H133),AND(H133&gt;=1,H133&lt;=10,H133=INT(H133)),FALSE),IF(ISNUMBER(K133),AND(K133&gt;=1,K133&lt;=10,K133=INT(K133)),FALSE)),F133*H133*K133,"")</f>
        <v/>
      </c>
      <c r="M133" s="54" t="str">
        <f>IF(L133="",IF(D133="","","À coter"),IF(OR(F133&gt;=p_gmin,L133&gt;=p_ipr_crit),"Critique",IF(L133&gt;=p_ipr_act,"Élevée",IF(L133&gt;=p_ipr_watch,"Moyenne","Faible"))))</f>
        <v/>
      </c>
      <c r="N133" s="54" t="str">
        <f>IF(OR(M133="",M133="À coter"),"",IF(OR(M133="Critique",M133="Élevée"),"Oui","Non"))</f>
        <v/>
      </c>
      <c r="O133" s="51" t="n"/>
      <c r="P133" s="51" t="n"/>
      <c r="Q133" s="55" t="n"/>
      <c r="R133" s="50" t="n"/>
      <c r="S133" s="55" t="n"/>
      <c r="T133" s="56" t="n"/>
      <c r="U133" s="52" t="n"/>
      <c r="V133" s="52" t="n"/>
      <c r="W133" s="52" t="n"/>
      <c r="X133" s="53" t="str">
        <f>IF(AND(L133&lt;&gt;"",IF(ISNUMBER(U133),AND(U133&gt;=1,U133&lt;=10,U133=INT(U133)),FALSE),IF(ISNUMBER(V133),AND(V133&gt;=1,V133&lt;=10,V133=INT(V133)),FALSE),IF(ISNUMBER(W133),AND(W133&gt;=1,W133&lt;=10,W133=INT(W133)),FALSE)),U133*V133*W133,"")</f>
        <v/>
      </c>
      <c r="Y133" s="54" t="str">
        <f>IF(X133="","",IF(OR(U133&gt;=p_gmin,X133&gt;=p_ipr_crit),"Critique",IF(X133&gt;=p_ipr_act,"Élevée",IF(X133&gt;=p_ipr_watch,"Moyenne","Faible"))))</f>
        <v/>
      </c>
      <c r="Z133" s="57" t="str">
        <f>IF(X133="","",(L133-X133)/L133)</f>
        <v/>
      </c>
      <c r="AA133" s="54" t="str">
        <f>IF(AND(D133="",O133=""),"",IF(O133="",IF(N133="Oui","Action à définir",IF(N133="Non","Sans action","")),IF(R133="Annulée","Annulée",IF(R133="Réalisée",IF(X133="","À réévaluer","Réalisée"),IF(N(Q133)=0,"Échéance manquante",IF(Q133&lt;p_today,"En retard",IF(Q133-p_today&lt;=p_alert,"Échéance proche","Dans les délais")))))))</f>
        <v/>
      </c>
      <c r="AB133" s="58" t="str">
        <f>IF(AND(A133="",B133="",D133="",F133="",H133="",K133="",O133=""),"",IF(D133="","Mode de défaillance manquant",IF(AND(A133&lt;&gt;"",COUNTIF(am_num,A133)&gt;1),"N° en double",IF(F133="","Gravité G manquante",IF(NOT(IF(ISNUMBER(F133),AND(F133&gt;=1,F133&lt;=10,F133=INT(F133)),FALSE)),"G : entier de 1 à 10",IF(H133="","Occurrence O manquante",IF(NOT(IF(ISNUMBER(H133),AND(H133&gt;=1,H133&lt;=10,H133=INT(H133)),FALSE)),"O : entier de 1 à 10",IF(K133="","Détection D manquante",IF(NOT(IF(ISNUMBER(K133),AND(K133&gt;=1,K133&lt;=10,K133=INT(K133)),FALSE)),"D : entier de 1 à 10",IF(G133="","Cause manquante",IF(AND(O133&lt;&gt;"",P133=""),"Responsable manquant",IF(AND(R133&lt;&gt;"",O133=""),"Statut sans action",IF(AND(R133="Réalisée",N(S133)=0),"Date de réalisation manquante",IF(AND(T133&lt;&gt;"",IF(ISNUMBER(T133),T133&lt;0,TRUE)),"Coût invalide",IF(AND(COUNTBLANK(U133:W133)&gt;0,COUNTBLANK(U133:W133)&lt;3),"Cotation après action incomplète",IF(AND(COUNTBLANK(U133:W133)=0,X133=""),"G', O', D' : entiers de 1 à 10",IF(AND(X133&lt;&gt;"",X133&gt;L133),"IPR après action plus élevé","OK")))))))))))))))))</f>
        <v/>
      </c>
      <c r="AC133" s="59" t="str">
        <f>IF(OR(AA133="En retard",AA133="Échéance proche",AA133="Dans les délais",AA133="Échéance manquante",AA133="Action à définir",AA133="À réévaluer"),IF(OR(plan_who="",P133=plan_who),IF(N(Q133)&gt;0,Q133,99999)*1000+ROW(),""),"")</f>
        <v/>
      </c>
      <c r="AD133" s="59" t="str">
        <f>IF(L133="","",L133*1000+1000-ROW())</f>
        <v/>
      </c>
      <c r="AE133" s="59" t="str">
        <f>IF(IF(AA133="En retard",1,IF(AA133="Action à définir",2,IF(AA133="Échéance manquante",3,IF(AA133="Échéance proche",4,IF(AA133="À réévaluer",5,0)))))=0,"",IF(AA133="En retard",1,IF(AA133="Action à définir",2,IF(AA133="Échéance manquante",3,IF(AA133="Échéance proche",4,IF(AA133="À réévaluer",5,0)))))*100000000+IF(N(Q133)&gt;0,Q133,99999)*1000+ROW())</f>
        <v/>
      </c>
      <c r="AF133" s="59" t="str">
        <f>IF(X133&lt;&gt;"",X133,L133)</f>
        <v/>
      </c>
      <c r="AG133" s="59" t="str">
        <f>IF(X133&lt;&gt;"",Y133,IF(L133&lt;&gt;"",M133,""))</f>
        <v/>
      </c>
      <c r="AH133" s="59" t="str">
        <f>IF(L133="","",IF(X133&lt;&gt;"",U133,F133))</f>
        <v/>
      </c>
      <c r="AI133" s="59" t="str">
        <f>IF(L133="","",IF(X133&lt;&gt;"",V133,H133))</f>
        <v/>
      </c>
    </row>
    <row r="134" ht="30" customHeight="1">
      <c r="A134" s="50" t="n"/>
      <c r="B134" s="51" t="n"/>
      <c r="C134" s="51" t="n"/>
      <c r="D134" s="51" t="n"/>
      <c r="E134" s="51" t="n"/>
      <c r="F134" s="52" t="n"/>
      <c r="G134" s="51" t="n"/>
      <c r="H134" s="52" t="n"/>
      <c r="I134" s="51" t="n"/>
      <c r="J134" s="51" t="n"/>
      <c r="K134" s="52" t="n"/>
      <c r="L134" s="53" t="str">
        <f>IF(AND(IF(ISNUMBER(F134),AND(F134&gt;=1,F134&lt;=10,F134=INT(F134)),FALSE),IF(ISNUMBER(H134),AND(H134&gt;=1,H134&lt;=10,H134=INT(H134)),FALSE),IF(ISNUMBER(K134),AND(K134&gt;=1,K134&lt;=10,K134=INT(K134)),FALSE)),F134*H134*K134,"")</f>
        <v/>
      </c>
      <c r="M134" s="54" t="str">
        <f>IF(L134="",IF(D134="","","À coter"),IF(OR(F134&gt;=p_gmin,L134&gt;=p_ipr_crit),"Critique",IF(L134&gt;=p_ipr_act,"Élevée",IF(L134&gt;=p_ipr_watch,"Moyenne","Faible"))))</f>
        <v/>
      </c>
      <c r="N134" s="54" t="str">
        <f>IF(OR(M134="",M134="À coter"),"",IF(OR(M134="Critique",M134="Élevée"),"Oui","Non"))</f>
        <v/>
      </c>
      <c r="O134" s="51" t="n"/>
      <c r="P134" s="51" t="n"/>
      <c r="Q134" s="55" t="n"/>
      <c r="R134" s="50" t="n"/>
      <c r="S134" s="55" t="n"/>
      <c r="T134" s="56" t="n"/>
      <c r="U134" s="52" t="n"/>
      <c r="V134" s="52" t="n"/>
      <c r="W134" s="52" t="n"/>
      <c r="X134" s="53" t="str">
        <f>IF(AND(L134&lt;&gt;"",IF(ISNUMBER(U134),AND(U134&gt;=1,U134&lt;=10,U134=INT(U134)),FALSE),IF(ISNUMBER(V134),AND(V134&gt;=1,V134&lt;=10,V134=INT(V134)),FALSE),IF(ISNUMBER(W134),AND(W134&gt;=1,W134&lt;=10,W134=INT(W134)),FALSE)),U134*V134*W134,"")</f>
        <v/>
      </c>
      <c r="Y134" s="54" t="str">
        <f>IF(X134="","",IF(OR(U134&gt;=p_gmin,X134&gt;=p_ipr_crit),"Critique",IF(X134&gt;=p_ipr_act,"Élevée",IF(X134&gt;=p_ipr_watch,"Moyenne","Faible"))))</f>
        <v/>
      </c>
      <c r="Z134" s="57" t="str">
        <f>IF(X134="","",(L134-X134)/L134)</f>
        <v/>
      </c>
      <c r="AA134" s="54" t="str">
        <f>IF(AND(D134="",O134=""),"",IF(O134="",IF(N134="Oui","Action à définir",IF(N134="Non","Sans action","")),IF(R134="Annulée","Annulée",IF(R134="Réalisée",IF(X134="","À réévaluer","Réalisée"),IF(N(Q134)=0,"Échéance manquante",IF(Q134&lt;p_today,"En retard",IF(Q134-p_today&lt;=p_alert,"Échéance proche","Dans les délais")))))))</f>
        <v/>
      </c>
      <c r="AB134" s="58" t="str">
        <f>IF(AND(A134="",B134="",D134="",F134="",H134="",K134="",O134=""),"",IF(D134="","Mode de défaillance manquant",IF(AND(A134&lt;&gt;"",COUNTIF(am_num,A134)&gt;1),"N° en double",IF(F134="","Gravité G manquante",IF(NOT(IF(ISNUMBER(F134),AND(F134&gt;=1,F134&lt;=10,F134=INT(F134)),FALSE)),"G : entier de 1 à 10",IF(H134="","Occurrence O manquante",IF(NOT(IF(ISNUMBER(H134),AND(H134&gt;=1,H134&lt;=10,H134=INT(H134)),FALSE)),"O : entier de 1 à 10",IF(K134="","Détection D manquante",IF(NOT(IF(ISNUMBER(K134),AND(K134&gt;=1,K134&lt;=10,K134=INT(K134)),FALSE)),"D : entier de 1 à 10",IF(G134="","Cause manquante",IF(AND(O134&lt;&gt;"",P134=""),"Responsable manquant",IF(AND(R134&lt;&gt;"",O134=""),"Statut sans action",IF(AND(R134="Réalisée",N(S134)=0),"Date de réalisation manquante",IF(AND(T134&lt;&gt;"",IF(ISNUMBER(T134),T134&lt;0,TRUE)),"Coût invalide",IF(AND(COUNTBLANK(U134:W134)&gt;0,COUNTBLANK(U134:W134)&lt;3),"Cotation après action incomplète",IF(AND(COUNTBLANK(U134:W134)=0,X134=""),"G', O', D' : entiers de 1 à 10",IF(AND(X134&lt;&gt;"",X134&gt;L134),"IPR après action plus élevé","OK")))))))))))))))))</f>
        <v/>
      </c>
      <c r="AC134" s="59" t="str">
        <f>IF(OR(AA134="En retard",AA134="Échéance proche",AA134="Dans les délais",AA134="Échéance manquante",AA134="Action à définir",AA134="À réévaluer"),IF(OR(plan_who="",P134=plan_who),IF(N(Q134)&gt;0,Q134,99999)*1000+ROW(),""),"")</f>
        <v/>
      </c>
      <c r="AD134" s="59" t="str">
        <f>IF(L134="","",L134*1000+1000-ROW())</f>
        <v/>
      </c>
      <c r="AE134" s="59" t="str">
        <f>IF(IF(AA134="En retard",1,IF(AA134="Action à définir",2,IF(AA134="Échéance manquante",3,IF(AA134="Échéance proche",4,IF(AA134="À réévaluer",5,0)))))=0,"",IF(AA134="En retard",1,IF(AA134="Action à définir",2,IF(AA134="Échéance manquante",3,IF(AA134="Échéance proche",4,IF(AA134="À réévaluer",5,0)))))*100000000+IF(N(Q134)&gt;0,Q134,99999)*1000+ROW())</f>
        <v/>
      </c>
      <c r="AF134" s="59" t="str">
        <f>IF(X134&lt;&gt;"",X134,L134)</f>
        <v/>
      </c>
      <c r="AG134" s="59" t="str">
        <f>IF(X134&lt;&gt;"",Y134,IF(L134&lt;&gt;"",M134,""))</f>
        <v/>
      </c>
      <c r="AH134" s="59" t="str">
        <f>IF(L134="","",IF(X134&lt;&gt;"",U134,F134))</f>
        <v/>
      </c>
      <c r="AI134" s="59" t="str">
        <f>IF(L134="","",IF(X134&lt;&gt;"",V134,H134))</f>
        <v/>
      </c>
    </row>
    <row r="135" ht="30" customHeight="1">
      <c r="A135" s="50" t="n"/>
      <c r="B135" s="51" t="n"/>
      <c r="C135" s="51" t="n"/>
      <c r="D135" s="51" t="n"/>
      <c r="E135" s="51" t="n"/>
      <c r="F135" s="52" t="n"/>
      <c r="G135" s="51" t="n"/>
      <c r="H135" s="52" t="n"/>
      <c r="I135" s="51" t="n"/>
      <c r="J135" s="51" t="n"/>
      <c r="K135" s="52" t="n"/>
      <c r="L135" s="53" t="str">
        <f>IF(AND(IF(ISNUMBER(F135),AND(F135&gt;=1,F135&lt;=10,F135=INT(F135)),FALSE),IF(ISNUMBER(H135),AND(H135&gt;=1,H135&lt;=10,H135=INT(H135)),FALSE),IF(ISNUMBER(K135),AND(K135&gt;=1,K135&lt;=10,K135=INT(K135)),FALSE)),F135*H135*K135,"")</f>
        <v/>
      </c>
      <c r="M135" s="54" t="str">
        <f>IF(L135="",IF(D135="","","À coter"),IF(OR(F135&gt;=p_gmin,L135&gt;=p_ipr_crit),"Critique",IF(L135&gt;=p_ipr_act,"Élevée",IF(L135&gt;=p_ipr_watch,"Moyenne","Faible"))))</f>
        <v/>
      </c>
      <c r="N135" s="54" t="str">
        <f>IF(OR(M135="",M135="À coter"),"",IF(OR(M135="Critique",M135="Élevée"),"Oui","Non"))</f>
        <v/>
      </c>
      <c r="O135" s="51" t="n"/>
      <c r="P135" s="51" t="n"/>
      <c r="Q135" s="55" t="n"/>
      <c r="R135" s="50" t="n"/>
      <c r="S135" s="55" t="n"/>
      <c r="T135" s="56" t="n"/>
      <c r="U135" s="52" t="n"/>
      <c r="V135" s="52" t="n"/>
      <c r="W135" s="52" t="n"/>
      <c r="X135" s="53" t="str">
        <f>IF(AND(L135&lt;&gt;"",IF(ISNUMBER(U135),AND(U135&gt;=1,U135&lt;=10,U135=INT(U135)),FALSE),IF(ISNUMBER(V135),AND(V135&gt;=1,V135&lt;=10,V135=INT(V135)),FALSE),IF(ISNUMBER(W135),AND(W135&gt;=1,W135&lt;=10,W135=INT(W135)),FALSE)),U135*V135*W135,"")</f>
        <v/>
      </c>
      <c r="Y135" s="54" t="str">
        <f>IF(X135="","",IF(OR(U135&gt;=p_gmin,X135&gt;=p_ipr_crit),"Critique",IF(X135&gt;=p_ipr_act,"Élevée",IF(X135&gt;=p_ipr_watch,"Moyenne","Faible"))))</f>
        <v/>
      </c>
      <c r="Z135" s="57" t="str">
        <f>IF(X135="","",(L135-X135)/L135)</f>
        <v/>
      </c>
      <c r="AA135" s="54" t="str">
        <f>IF(AND(D135="",O135=""),"",IF(O135="",IF(N135="Oui","Action à définir",IF(N135="Non","Sans action","")),IF(R135="Annulée","Annulée",IF(R135="Réalisée",IF(X135="","À réévaluer","Réalisée"),IF(N(Q135)=0,"Échéance manquante",IF(Q135&lt;p_today,"En retard",IF(Q135-p_today&lt;=p_alert,"Échéance proche","Dans les délais")))))))</f>
        <v/>
      </c>
      <c r="AB135" s="58" t="str">
        <f>IF(AND(A135="",B135="",D135="",F135="",H135="",K135="",O135=""),"",IF(D135="","Mode de défaillance manquant",IF(AND(A135&lt;&gt;"",COUNTIF(am_num,A135)&gt;1),"N° en double",IF(F135="","Gravité G manquante",IF(NOT(IF(ISNUMBER(F135),AND(F135&gt;=1,F135&lt;=10,F135=INT(F135)),FALSE)),"G : entier de 1 à 10",IF(H135="","Occurrence O manquante",IF(NOT(IF(ISNUMBER(H135),AND(H135&gt;=1,H135&lt;=10,H135=INT(H135)),FALSE)),"O : entier de 1 à 10",IF(K135="","Détection D manquante",IF(NOT(IF(ISNUMBER(K135),AND(K135&gt;=1,K135&lt;=10,K135=INT(K135)),FALSE)),"D : entier de 1 à 10",IF(G135="","Cause manquante",IF(AND(O135&lt;&gt;"",P135=""),"Responsable manquant",IF(AND(R135&lt;&gt;"",O135=""),"Statut sans action",IF(AND(R135="Réalisée",N(S135)=0),"Date de réalisation manquante",IF(AND(T135&lt;&gt;"",IF(ISNUMBER(T135),T135&lt;0,TRUE)),"Coût invalide",IF(AND(COUNTBLANK(U135:W135)&gt;0,COUNTBLANK(U135:W135)&lt;3),"Cotation après action incomplète",IF(AND(COUNTBLANK(U135:W135)=0,X135=""),"G', O', D' : entiers de 1 à 10",IF(AND(X135&lt;&gt;"",X135&gt;L135),"IPR après action plus élevé","OK")))))))))))))))))</f>
        <v/>
      </c>
      <c r="AC135" s="59" t="str">
        <f>IF(OR(AA135="En retard",AA135="Échéance proche",AA135="Dans les délais",AA135="Échéance manquante",AA135="Action à définir",AA135="À réévaluer"),IF(OR(plan_who="",P135=plan_who),IF(N(Q135)&gt;0,Q135,99999)*1000+ROW(),""),"")</f>
        <v/>
      </c>
      <c r="AD135" s="59" t="str">
        <f>IF(L135="","",L135*1000+1000-ROW())</f>
        <v/>
      </c>
      <c r="AE135" s="59" t="str">
        <f>IF(IF(AA135="En retard",1,IF(AA135="Action à définir",2,IF(AA135="Échéance manquante",3,IF(AA135="Échéance proche",4,IF(AA135="À réévaluer",5,0)))))=0,"",IF(AA135="En retard",1,IF(AA135="Action à définir",2,IF(AA135="Échéance manquante",3,IF(AA135="Échéance proche",4,IF(AA135="À réévaluer",5,0)))))*100000000+IF(N(Q135)&gt;0,Q135,99999)*1000+ROW())</f>
        <v/>
      </c>
      <c r="AF135" s="59" t="str">
        <f>IF(X135&lt;&gt;"",X135,L135)</f>
        <v/>
      </c>
      <c r="AG135" s="59" t="str">
        <f>IF(X135&lt;&gt;"",Y135,IF(L135&lt;&gt;"",M135,""))</f>
        <v/>
      </c>
      <c r="AH135" s="59" t="str">
        <f>IF(L135="","",IF(X135&lt;&gt;"",U135,F135))</f>
        <v/>
      </c>
      <c r="AI135" s="59" t="str">
        <f>IF(L135="","",IF(X135&lt;&gt;"",V135,H135))</f>
        <v/>
      </c>
    </row>
    <row r="136" ht="30" customHeight="1">
      <c r="A136" s="50" t="n"/>
      <c r="B136" s="51" t="n"/>
      <c r="C136" s="51" t="n"/>
      <c r="D136" s="51" t="n"/>
      <c r="E136" s="51" t="n"/>
      <c r="F136" s="52" t="n"/>
      <c r="G136" s="51" t="n"/>
      <c r="H136" s="52" t="n"/>
      <c r="I136" s="51" t="n"/>
      <c r="J136" s="51" t="n"/>
      <c r="K136" s="52" t="n"/>
      <c r="L136" s="53" t="str">
        <f>IF(AND(IF(ISNUMBER(F136),AND(F136&gt;=1,F136&lt;=10,F136=INT(F136)),FALSE),IF(ISNUMBER(H136),AND(H136&gt;=1,H136&lt;=10,H136=INT(H136)),FALSE),IF(ISNUMBER(K136),AND(K136&gt;=1,K136&lt;=10,K136=INT(K136)),FALSE)),F136*H136*K136,"")</f>
        <v/>
      </c>
      <c r="M136" s="54" t="str">
        <f>IF(L136="",IF(D136="","","À coter"),IF(OR(F136&gt;=p_gmin,L136&gt;=p_ipr_crit),"Critique",IF(L136&gt;=p_ipr_act,"Élevée",IF(L136&gt;=p_ipr_watch,"Moyenne","Faible"))))</f>
        <v/>
      </c>
      <c r="N136" s="54" t="str">
        <f>IF(OR(M136="",M136="À coter"),"",IF(OR(M136="Critique",M136="Élevée"),"Oui","Non"))</f>
        <v/>
      </c>
      <c r="O136" s="51" t="n"/>
      <c r="P136" s="51" t="n"/>
      <c r="Q136" s="55" t="n"/>
      <c r="R136" s="50" t="n"/>
      <c r="S136" s="55" t="n"/>
      <c r="T136" s="56" t="n"/>
      <c r="U136" s="52" t="n"/>
      <c r="V136" s="52" t="n"/>
      <c r="W136" s="52" t="n"/>
      <c r="X136" s="53" t="str">
        <f>IF(AND(L136&lt;&gt;"",IF(ISNUMBER(U136),AND(U136&gt;=1,U136&lt;=10,U136=INT(U136)),FALSE),IF(ISNUMBER(V136),AND(V136&gt;=1,V136&lt;=10,V136=INT(V136)),FALSE),IF(ISNUMBER(W136),AND(W136&gt;=1,W136&lt;=10,W136=INT(W136)),FALSE)),U136*V136*W136,"")</f>
        <v/>
      </c>
      <c r="Y136" s="54" t="str">
        <f>IF(X136="","",IF(OR(U136&gt;=p_gmin,X136&gt;=p_ipr_crit),"Critique",IF(X136&gt;=p_ipr_act,"Élevée",IF(X136&gt;=p_ipr_watch,"Moyenne","Faible"))))</f>
        <v/>
      </c>
      <c r="Z136" s="57" t="str">
        <f>IF(X136="","",(L136-X136)/L136)</f>
        <v/>
      </c>
      <c r="AA136" s="54" t="str">
        <f>IF(AND(D136="",O136=""),"",IF(O136="",IF(N136="Oui","Action à définir",IF(N136="Non","Sans action","")),IF(R136="Annulée","Annulée",IF(R136="Réalisée",IF(X136="","À réévaluer","Réalisée"),IF(N(Q136)=0,"Échéance manquante",IF(Q136&lt;p_today,"En retard",IF(Q136-p_today&lt;=p_alert,"Échéance proche","Dans les délais")))))))</f>
        <v/>
      </c>
      <c r="AB136" s="58" t="str">
        <f>IF(AND(A136="",B136="",D136="",F136="",H136="",K136="",O136=""),"",IF(D136="","Mode de défaillance manquant",IF(AND(A136&lt;&gt;"",COUNTIF(am_num,A136)&gt;1),"N° en double",IF(F136="","Gravité G manquante",IF(NOT(IF(ISNUMBER(F136),AND(F136&gt;=1,F136&lt;=10,F136=INT(F136)),FALSE)),"G : entier de 1 à 10",IF(H136="","Occurrence O manquante",IF(NOT(IF(ISNUMBER(H136),AND(H136&gt;=1,H136&lt;=10,H136=INT(H136)),FALSE)),"O : entier de 1 à 10",IF(K136="","Détection D manquante",IF(NOT(IF(ISNUMBER(K136),AND(K136&gt;=1,K136&lt;=10,K136=INT(K136)),FALSE)),"D : entier de 1 à 10",IF(G136="","Cause manquante",IF(AND(O136&lt;&gt;"",P136=""),"Responsable manquant",IF(AND(R136&lt;&gt;"",O136=""),"Statut sans action",IF(AND(R136="Réalisée",N(S136)=0),"Date de réalisation manquante",IF(AND(T136&lt;&gt;"",IF(ISNUMBER(T136),T136&lt;0,TRUE)),"Coût invalide",IF(AND(COUNTBLANK(U136:W136)&gt;0,COUNTBLANK(U136:W136)&lt;3),"Cotation après action incomplète",IF(AND(COUNTBLANK(U136:W136)=0,X136=""),"G', O', D' : entiers de 1 à 10",IF(AND(X136&lt;&gt;"",X136&gt;L136),"IPR après action plus élevé","OK")))))))))))))))))</f>
        <v/>
      </c>
      <c r="AC136" s="59" t="str">
        <f>IF(OR(AA136="En retard",AA136="Échéance proche",AA136="Dans les délais",AA136="Échéance manquante",AA136="Action à définir",AA136="À réévaluer"),IF(OR(plan_who="",P136=plan_who),IF(N(Q136)&gt;0,Q136,99999)*1000+ROW(),""),"")</f>
        <v/>
      </c>
      <c r="AD136" s="59" t="str">
        <f>IF(L136="","",L136*1000+1000-ROW())</f>
        <v/>
      </c>
      <c r="AE136" s="59" t="str">
        <f>IF(IF(AA136="En retard",1,IF(AA136="Action à définir",2,IF(AA136="Échéance manquante",3,IF(AA136="Échéance proche",4,IF(AA136="À réévaluer",5,0)))))=0,"",IF(AA136="En retard",1,IF(AA136="Action à définir",2,IF(AA136="Échéance manquante",3,IF(AA136="Échéance proche",4,IF(AA136="À réévaluer",5,0)))))*100000000+IF(N(Q136)&gt;0,Q136,99999)*1000+ROW())</f>
        <v/>
      </c>
      <c r="AF136" s="59" t="str">
        <f>IF(X136&lt;&gt;"",X136,L136)</f>
        <v/>
      </c>
      <c r="AG136" s="59" t="str">
        <f>IF(X136&lt;&gt;"",Y136,IF(L136&lt;&gt;"",M136,""))</f>
        <v/>
      </c>
      <c r="AH136" s="59" t="str">
        <f>IF(L136="","",IF(X136&lt;&gt;"",U136,F136))</f>
        <v/>
      </c>
      <c r="AI136" s="59" t="str">
        <f>IF(L136="","",IF(X136&lt;&gt;"",V136,H136))</f>
        <v/>
      </c>
    </row>
    <row r="137" ht="30" customHeight="1">
      <c r="A137" s="50" t="n"/>
      <c r="B137" s="51" t="n"/>
      <c r="C137" s="51" t="n"/>
      <c r="D137" s="51" t="n"/>
      <c r="E137" s="51" t="n"/>
      <c r="F137" s="52" t="n"/>
      <c r="G137" s="51" t="n"/>
      <c r="H137" s="52" t="n"/>
      <c r="I137" s="51" t="n"/>
      <c r="J137" s="51" t="n"/>
      <c r="K137" s="52" t="n"/>
      <c r="L137" s="53" t="str">
        <f>IF(AND(IF(ISNUMBER(F137),AND(F137&gt;=1,F137&lt;=10,F137=INT(F137)),FALSE),IF(ISNUMBER(H137),AND(H137&gt;=1,H137&lt;=10,H137=INT(H137)),FALSE),IF(ISNUMBER(K137),AND(K137&gt;=1,K137&lt;=10,K137=INT(K137)),FALSE)),F137*H137*K137,"")</f>
        <v/>
      </c>
      <c r="M137" s="54" t="str">
        <f>IF(L137="",IF(D137="","","À coter"),IF(OR(F137&gt;=p_gmin,L137&gt;=p_ipr_crit),"Critique",IF(L137&gt;=p_ipr_act,"Élevée",IF(L137&gt;=p_ipr_watch,"Moyenne","Faible"))))</f>
        <v/>
      </c>
      <c r="N137" s="54" t="str">
        <f>IF(OR(M137="",M137="À coter"),"",IF(OR(M137="Critique",M137="Élevée"),"Oui","Non"))</f>
        <v/>
      </c>
      <c r="O137" s="51" t="n"/>
      <c r="P137" s="51" t="n"/>
      <c r="Q137" s="55" t="n"/>
      <c r="R137" s="50" t="n"/>
      <c r="S137" s="55" t="n"/>
      <c r="T137" s="56" t="n"/>
      <c r="U137" s="52" t="n"/>
      <c r="V137" s="52" t="n"/>
      <c r="W137" s="52" t="n"/>
      <c r="X137" s="53" t="str">
        <f>IF(AND(L137&lt;&gt;"",IF(ISNUMBER(U137),AND(U137&gt;=1,U137&lt;=10,U137=INT(U137)),FALSE),IF(ISNUMBER(V137),AND(V137&gt;=1,V137&lt;=10,V137=INT(V137)),FALSE),IF(ISNUMBER(W137),AND(W137&gt;=1,W137&lt;=10,W137=INT(W137)),FALSE)),U137*V137*W137,"")</f>
        <v/>
      </c>
      <c r="Y137" s="54" t="str">
        <f>IF(X137="","",IF(OR(U137&gt;=p_gmin,X137&gt;=p_ipr_crit),"Critique",IF(X137&gt;=p_ipr_act,"Élevée",IF(X137&gt;=p_ipr_watch,"Moyenne","Faible"))))</f>
        <v/>
      </c>
      <c r="Z137" s="57" t="str">
        <f>IF(X137="","",(L137-X137)/L137)</f>
        <v/>
      </c>
      <c r="AA137" s="54" t="str">
        <f>IF(AND(D137="",O137=""),"",IF(O137="",IF(N137="Oui","Action à définir",IF(N137="Non","Sans action","")),IF(R137="Annulée","Annulée",IF(R137="Réalisée",IF(X137="","À réévaluer","Réalisée"),IF(N(Q137)=0,"Échéance manquante",IF(Q137&lt;p_today,"En retard",IF(Q137-p_today&lt;=p_alert,"Échéance proche","Dans les délais")))))))</f>
        <v/>
      </c>
      <c r="AB137" s="58" t="str">
        <f>IF(AND(A137="",B137="",D137="",F137="",H137="",K137="",O137=""),"",IF(D137="","Mode de défaillance manquant",IF(AND(A137&lt;&gt;"",COUNTIF(am_num,A137)&gt;1),"N° en double",IF(F137="","Gravité G manquante",IF(NOT(IF(ISNUMBER(F137),AND(F137&gt;=1,F137&lt;=10,F137=INT(F137)),FALSE)),"G : entier de 1 à 10",IF(H137="","Occurrence O manquante",IF(NOT(IF(ISNUMBER(H137),AND(H137&gt;=1,H137&lt;=10,H137=INT(H137)),FALSE)),"O : entier de 1 à 10",IF(K137="","Détection D manquante",IF(NOT(IF(ISNUMBER(K137),AND(K137&gt;=1,K137&lt;=10,K137=INT(K137)),FALSE)),"D : entier de 1 à 10",IF(G137="","Cause manquante",IF(AND(O137&lt;&gt;"",P137=""),"Responsable manquant",IF(AND(R137&lt;&gt;"",O137=""),"Statut sans action",IF(AND(R137="Réalisée",N(S137)=0),"Date de réalisation manquante",IF(AND(T137&lt;&gt;"",IF(ISNUMBER(T137),T137&lt;0,TRUE)),"Coût invalide",IF(AND(COUNTBLANK(U137:W137)&gt;0,COUNTBLANK(U137:W137)&lt;3),"Cotation après action incomplète",IF(AND(COUNTBLANK(U137:W137)=0,X137=""),"G', O', D' : entiers de 1 à 10",IF(AND(X137&lt;&gt;"",X137&gt;L137),"IPR après action plus élevé","OK")))))))))))))))))</f>
        <v/>
      </c>
      <c r="AC137" s="59" t="str">
        <f>IF(OR(AA137="En retard",AA137="Échéance proche",AA137="Dans les délais",AA137="Échéance manquante",AA137="Action à définir",AA137="À réévaluer"),IF(OR(plan_who="",P137=plan_who),IF(N(Q137)&gt;0,Q137,99999)*1000+ROW(),""),"")</f>
        <v/>
      </c>
      <c r="AD137" s="59" t="str">
        <f>IF(L137="","",L137*1000+1000-ROW())</f>
        <v/>
      </c>
      <c r="AE137" s="59" t="str">
        <f>IF(IF(AA137="En retard",1,IF(AA137="Action à définir",2,IF(AA137="Échéance manquante",3,IF(AA137="Échéance proche",4,IF(AA137="À réévaluer",5,0)))))=0,"",IF(AA137="En retard",1,IF(AA137="Action à définir",2,IF(AA137="Échéance manquante",3,IF(AA137="Échéance proche",4,IF(AA137="À réévaluer",5,0)))))*100000000+IF(N(Q137)&gt;0,Q137,99999)*1000+ROW())</f>
        <v/>
      </c>
      <c r="AF137" s="59" t="str">
        <f>IF(X137&lt;&gt;"",X137,L137)</f>
        <v/>
      </c>
      <c r="AG137" s="59" t="str">
        <f>IF(X137&lt;&gt;"",Y137,IF(L137&lt;&gt;"",M137,""))</f>
        <v/>
      </c>
      <c r="AH137" s="59" t="str">
        <f>IF(L137="","",IF(X137&lt;&gt;"",U137,F137))</f>
        <v/>
      </c>
      <c r="AI137" s="59" t="str">
        <f>IF(L137="","",IF(X137&lt;&gt;"",V137,H137))</f>
        <v/>
      </c>
    </row>
    <row r="138" ht="30" customHeight="1">
      <c r="A138" s="50" t="n"/>
      <c r="B138" s="51" t="n"/>
      <c r="C138" s="51" t="n"/>
      <c r="D138" s="51" t="n"/>
      <c r="E138" s="51" t="n"/>
      <c r="F138" s="52" t="n"/>
      <c r="G138" s="51" t="n"/>
      <c r="H138" s="52" t="n"/>
      <c r="I138" s="51" t="n"/>
      <c r="J138" s="51" t="n"/>
      <c r="K138" s="52" t="n"/>
      <c r="L138" s="53" t="str">
        <f>IF(AND(IF(ISNUMBER(F138),AND(F138&gt;=1,F138&lt;=10,F138=INT(F138)),FALSE),IF(ISNUMBER(H138),AND(H138&gt;=1,H138&lt;=10,H138=INT(H138)),FALSE),IF(ISNUMBER(K138),AND(K138&gt;=1,K138&lt;=10,K138=INT(K138)),FALSE)),F138*H138*K138,"")</f>
        <v/>
      </c>
      <c r="M138" s="54" t="str">
        <f>IF(L138="",IF(D138="","","À coter"),IF(OR(F138&gt;=p_gmin,L138&gt;=p_ipr_crit),"Critique",IF(L138&gt;=p_ipr_act,"Élevée",IF(L138&gt;=p_ipr_watch,"Moyenne","Faible"))))</f>
        <v/>
      </c>
      <c r="N138" s="54" t="str">
        <f>IF(OR(M138="",M138="À coter"),"",IF(OR(M138="Critique",M138="Élevée"),"Oui","Non"))</f>
        <v/>
      </c>
      <c r="O138" s="51" t="n"/>
      <c r="P138" s="51" t="n"/>
      <c r="Q138" s="55" t="n"/>
      <c r="R138" s="50" t="n"/>
      <c r="S138" s="55" t="n"/>
      <c r="T138" s="56" t="n"/>
      <c r="U138" s="52" t="n"/>
      <c r="V138" s="52" t="n"/>
      <c r="W138" s="52" t="n"/>
      <c r="X138" s="53" t="str">
        <f>IF(AND(L138&lt;&gt;"",IF(ISNUMBER(U138),AND(U138&gt;=1,U138&lt;=10,U138=INT(U138)),FALSE),IF(ISNUMBER(V138),AND(V138&gt;=1,V138&lt;=10,V138=INT(V138)),FALSE),IF(ISNUMBER(W138),AND(W138&gt;=1,W138&lt;=10,W138=INT(W138)),FALSE)),U138*V138*W138,"")</f>
        <v/>
      </c>
      <c r="Y138" s="54" t="str">
        <f>IF(X138="","",IF(OR(U138&gt;=p_gmin,X138&gt;=p_ipr_crit),"Critique",IF(X138&gt;=p_ipr_act,"Élevée",IF(X138&gt;=p_ipr_watch,"Moyenne","Faible"))))</f>
        <v/>
      </c>
      <c r="Z138" s="57" t="str">
        <f>IF(X138="","",(L138-X138)/L138)</f>
        <v/>
      </c>
      <c r="AA138" s="54" t="str">
        <f>IF(AND(D138="",O138=""),"",IF(O138="",IF(N138="Oui","Action à définir",IF(N138="Non","Sans action","")),IF(R138="Annulée","Annulée",IF(R138="Réalisée",IF(X138="","À réévaluer","Réalisée"),IF(N(Q138)=0,"Échéance manquante",IF(Q138&lt;p_today,"En retard",IF(Q138-p_today&lt;=p_alert,"Échéance proche","Dans les délais")))))))</f>
        <v/>
      </c>
      <c r="AB138" s="58" t="str">
        <f>IF(AND(A138="",B138="",D138="",F138="",H138="",K138="",O138=""),"",IF(D138="","Mode de défaillance manquant",IF(AND(A138&lt;&gt;"",COUNTIF(am_num,A138)&gt;1),"N° en double",IF(F138="","Gravité G manquante",IF(NOT(IF(ISNUMBER(F138),AND(F138&gt;=1,F138&lt;=10,F138=INT(F138)),FALSE)),"G : entier de 1 à 10",IF(H138="","Occurrence O manquante",IF(NOT(IF(ISNUMBER(H138),AND(H138&gt;=1,H138&lt;=10,H138=INT(H138)),FALSE)),"O : entier de 1 à 10",IF(K138="","Détection D manquante",IF(NOT(IF(ISNUMBER(K138),AND(K138&gt;=1,K138&lt;=10,K138=INT(K138)),FALSE)),"D : entier de 1 à 10",IF(G138="","Cause manquante",IF(AND(O138&lt;&gt;"",P138=""),"Responsable manquant",IF(AND(R138&lt;&gt;"",O138=""),"Statut sans action",IF(AND(R138="Réalisée",N(S138)=0),"Date de réalisation manquante",IF(AND(T138&lt;&gt;"",IF(ISNUMBER(T138),T138&lt;0,TRUE)),"Coût invalide",IF(AND(COUNTBLANK(U138:W138)&gt;0,COUNTBLANK(U138:W138)&lt;3),"Cotation après action incomplète",IF(AND(COUNTBLANK(U138:W138)=0,X138=""),"G', O', D' : entiers de 1 à 10",IF(AND(X138&lt;&gt;"",X138&gt;L138),"IPR après action plus élevé","OK")))))))))))))))))</f>
        <v/>
      </c>
      <c r="AC138" s="59" t="str">
        <f>IF(OR(AA138="En retard",AA138="Échéance proche",AA138="Dans les délais",AA138="Échéance manquante",AA138="Action à définir",AA138="À réévaluer"),IF(OR(plan_who="",P138=plan_who),IF(N(Q138)&gt;0,Q138,99999)*1000+ROW(),""),"")</f>
        <v/>
      </c>
      <c r="AD138" s="59" t="str">
        <f>IF(L138="","",L138*1000+1000-ROW())</f>
        <v/>
      </c>
      <c r="AE138" s="59" t="str">
        <f>IF(IF(AA138="En retard",1,IF(AA138="Action à définir",2,IF(AA138="Échéance manquante",3,IF(AA138="Échéance proche",4,IF(AA138="À réévaluer",5,0)))))=0,"",IF(AA138="En retard",1,IF(AA138="Action à définir",2,IF(AA138="Échéance manquante",3,IF(AA138="Échéance proche",4,IF(AA138="À réévaluer",5,0)))))*100000000+IF(N(Q138)&gt;0,Q138,99999)*1000+ROW())</f>
        <v/>
      </c>
      <c r="AF138" s="59" t="str">
        <f>IF(X138&lt;&gt;"",X138,L138)</f>
        <v/>
      </c>
      <c r="AG138" s="59" t="str">
        <f>IF(X138&lt;&gt;"",Y138,IF(L138&lt;&gt;"",M138,""))</f>
        <v/>
      </c>
      <c r="AH138" s="59" t="str">
        <f>IF(L138="","",IF(X138&lt;&gt;"",U138,F138))</f>
        <v/>
      </c>
      <c r="AI138" s="59" t="str">
        <f>IF(L138="","",IF(X138&lt;&gt;"",V138,H138))</f>
        <v/>
      </c>
    </row>
    <row r="139" ht="30" customHeight="1">
      <c r="A139" s="50" t="n"/>
      <c r="B139" s="51" t="n"/>
      <c r="C139" s="51" t="n"/>
      <c r="D139" s="51" t="n"/>
      <c r="E139" s="51" t="n"/>
      <c r="F139" s="52" t="n"/>
      <c r="G139" s="51" t="n"/>
      <c r="H139" s="52" t="n"/>
      <c r="I139" s="51" t="n"/>
      <c r="J139" s="51" t="n"/>
      <c r="K139" s="52" t="n"/>
      <c r="L139" s="53" t="str">
        <f>IF(AND(IF(ISNUMBER(F139),AND(F139&gt;=1,F139&lt;=10,F139=INT(F139)),FALSE),IF(ISNUMBER(H139),AND(H139&gt;=1,H139&lt;=10,H139=INT(H139)),FALSE),IF(ISNUMBER(K139),AND(K139&gt;=1,K139&lt;=10,K139=INT(K139)),FALSE)),F139*H139*K139,"")</f>
        <v/>
      </c>
      <c r="M139" s="54" t="str">
        <f>IF(L139="",IF(D139="","","À coter"),IF(OR(F139&gt;=p_gmin,L139&gt;=p_ipr_crit),"Critique",IF(L139&gt;=p_ipr_act,"Élevée",IF(L139&gt;=p_ipr_watch,"Moyenne","Faible"))))</f>
        <v/>
      </c>
      <c r="N139" s="54" t="str">
        <f>IF(OR(M139="",M139="À coter"),"",IF(OR(M139="Critique",M139="Élevée"),"Oui","Non"))</f>
        <v/>
      </c>
      <c r="O139" s="51" t="n"/>
      <c r="P139" s="51" t="n"/>
      <c r="Q139" s="55" t="n"/>
      <c r="R139" s="50" t="n"/>
      <c r="S139" s="55" t="n"/>
      <c r="T139" s="56" t="n"/>
      <c r="U139" s="52" t="n"/>
      <c r="V139" s="52" t="n"/>
      <c r="W139" s="52" t="n"/>
      <c r="X139" s="53" t="str">
        <f>IF(AND(L139&lt;&gt;"",IF(ISNUMBER(U139),AND(U139&gt;=1,U139&lt;=10,U139=INT(U139)),FALSE),IF(ISNUMBER(V139),AND(V139&gt;=1,V139&lt;=10,V139=INT(V139)),FALSE),IF(ISNUMBER(W139),AND(W139&gt;=1,W139&lt;=10,W139=INT(W139)),FALSE)),U139*V139*W139,"")</f>
        <v/>
      </c>
      <c r="Y139" s="54" t="str">
        <f>IF(X139="","",IF(OR(U139&gt;=p_gmin,X139&gt;=p_ipr_crit),"Critique",IF(X139&gt;=p_ipr_act,"Élevée",IF(X139&gt;=p_ipr_watch,"Moyenne","Faible"))))</f>
        <v/>
      </c>
      <c r="Z139" s="57" t="str">
        <f>IF(X139="","",(L139-X139)/L139)</f>
        <v/>
      </c>
      <c r="AA139" s="54" t="str">
        <f>IF(AND(D139="",O139=""),"",IF(O139="",IF(N139="Oui","Action à définir",IF(N139="Non","Sans action","")),IF(R139="Annulée","Annulée",IF(R139="Réalisée",IF(X139="","À réévaluer","Réalisée"),IF(N(Q139)=0,"Échéance manquante",IF(Q139&lt;p_today,"En retard",IF(Q139-p_today&lt;=p_alert,"Échéance proche","Dans les délais")))))))</f>
        <v/>
      </c>
      <c r="AB139" s="58" t="str">
        <f>IF(AND(A139="",B139="",D139="",F139="",H139="",K139="",O139=""),"",IF(D139="","Mode de défaillance manquant",IF(AND(A139&lt;&gt;"",COUNTIF(am_num,A139)&gt;1),"N° en double",IF(F139="","Gravité G manquante",IF(NOT(IF(ISNUMBER(F139),AND(F139&gt;=1,F139&lt;=10,F139=INT(F139)),FALSE)),"G : entier de 1 à 10",IF(H139="","Occurrence O manquante",IF(NOT(IF(ISNUMBER(H139),AND(H139&gt;=1,H139&lt;=10,H139=INT(H139)),FALSE)),"O : entier de 1 à 10",IF(K139="","Détection D manquante",IF(NOT(IF(ISNUMBER(K139),AND(K139&gt;=1,K139&lt;=10,K139=INT(K139)),FALSE)),"D : entier de 1 à 10",IF(G139="","Cause manquante",IF(AND(O139&lt;&gt;"",P139=""),"Responsable manquant",IF(AND(R139&lt;&gt;"",O139=""),"Statut sans action",IF(AND(R139="Réalisée",N(S139)=0),"Date de réalisation manquante",IF(AND(T139&lt;&gt;"",IF(ISNUMBER(T139),T139&lt;0,TRUE)),"Coût invalide",IF(AND(COUNTBLANK(U139:W139)&gt;0,COUNTBLANK(U139:W139)&lt;3),"Cotation après action incomplète",IF(AND(COUNTBLANK(U139:W139)=0,X139=""),"G', O', D' : entiers de 1 à 10",IF(AND(X139&lt;&gt;"",X139&gt;L139),"IPR après action plus élevé","OK")))))))))))))))))</f>
        <v/>
      </c>
      <c r="AC139" s="59" t="str">
        <f>IF(OR(AA139="En retard",AA139="Échéance proche",AA139="Dans les délais",AA139="Échéance manquante",AA139="Action à définir",AA139="À réévaluer"),IF(OR(plan_who="",P139=plan_who),IF(N(Q139)&gt;0,Q139,99999)*1000+ROW(),""),"")</f>
        <v/>
      </c>
      <c r="AD139" s="59" t="str">
        <f>IF(L139="","",L139*1000+1000-ROW())</f>
        <v/>
      </c>
      <c r="AE139" s="59" t="str">
        <f>IF(IF(AA139="En retard",1,IF(AA139="Action à définir",2,IF(AA139="Échéance manquante",3,IF(AA139="Échéance proche",4,IF(AA139="À réévaluer",5,0)))))=0,"",IF(AA139="En retard",1,IF(AA139="Action à définir",2,IF(AA139="Échéance manquante",3,IF(AA139="Échéance proche",4,IF(AA139="À réévaluer",5,0)))))*100000000+IF(N(Q139)&gt;0,Q139,99999)*1000+ROW())</f>
        <v/>
      </c>
      <c r="AF139" s="59" t="str">
        <f>IF(X139&lt;&gt;"",X139,L139)</f>
        <v/>
      </c>
      <c r="AG139" s="59" t="str">
        <f>IF(X139&lt;&gt;"",Y139,IF(L139&lt;&gt;"",M139,""))</f>
        <v/>
      </c>
      <c r="AH139" s="59" t="str">
        <f>IF(L139="","",IF(X139&lt;&gt;"",U139,F139))</f>
        <v/>
      </c>
      <c r="AI139" s="59" t="str">
        <f>IF(L139="","",IF(X139&lt;&gt;"",V139,H139))</f>
        <v/>
      </c>
    </row>
    <row r="140" ht="30" customHeight="1">
      <c r="A140" s="50" t="n"/>
      <c r="B140" s="51" t="n"/>
      <c r="C140" s="51" t="n"/>
      <c r="D140" s="51" t="n"/>
      <c r="E140" s="51" t="n"/>
      <c r="F140" s="52" t="n"/>
      <c r="G140" s="51" t="n"/>
      <c r="H140" s="52" t="n"/>
      <c r="I140" s="51" t="n"/>
      <c r="J140" s="51" t="n"/>
      <c r="K140" s="52" t="n"/>
      <c r="L140" s="53" t="str">
        <f>IF(AND(IF(ISNUMBER(F140),AND(F140&gt;=1,F140&lt;=10,F140=INT(F140)),FALSE),IF(ISNUMBER(H140),AND(H140&gt;=1,H140&lt;=10,H140=INT(H140)),FALSE),IF(ISNUMBER(K140),AND(K140&gt;=1,K140&lt;=10,K140=INT(K140)),FALSE)),F140*H140*K140,"")</f>
        <v/>
      </c>
      <c r="M140" s="54" t="str">
        <f>IF(L140="",IF(D140="","","À coter"),IF(OR(F140&gt;=p_gmin,L140&gt;=p_ipr_crit),"Critique",IF(L140&gt;=p_ipr_act,"Élevée",IF(L140&gt;=p_ipr_watch,"Moyenne","Faible"))))</f>
        <v/>
      </c>
      <c r="N140" s="54" t="str">
        <f>IF(OR(M140="",M140="À coter"),"",IF(OR(M140="Critique",M140="Élevée"),"Oui","Non"))</f>
        <v/>
      </c>
      <c r="O140" s="51" t="n"/>
      <c r="P140" s="51" t="n"/>
      <c r="Q140" s="55" t="n"/>
      <c r="R140" s="50" t="n"/>
      <c r="S140" s="55" t="n"/>
      <c r="T140" s="56" t="n"/>
      <c r="U140" s="52" t="n"/>
      <c r="V140" s="52" t="n"/>
      <c r="W140" s="52" t="n"/>
      <c r="X140" s="53" t="str">
        <f>IF(AND(L140&lt;&gt;"",IF(ISNUMBER(U140),AND(U140&gt;=1,U140&lt;=10,U140=INT(U140)),FALSE),IF(ISNUMBER(V140),AND(V140&gt;=1,V140&lt;=10,V140=INT(V140)),FALSE),IF(ISNUMBER(W140),AND(W140&gt;=1,W140&lt;=10,W140=INT(W140)),FALSE)),U140*V140*W140,"")</f>
        <v/>
      </c>
      <c r="Y140" s="54" t="str">
        <f>IF(X140="","",IF(OR(U140&gt;=p_gmin,X140&gt;=p_ipr_crit),"Critique",IF(X140&gt;=p_ipr_act,"Élevée",IF(X140&gt;=p_ipr_watch,"Moyenne","Faible"))))</f>
        <v/>
      </c>
      <c r="Z140" s="57" t="str">
        <f>IF(X140="","",(L140-X140)/L140)</f>
        <v/>
      </c>
      <c r="AA140" s="54" t="str">
        <f>IF(AND(D140="",O140=""),"",IF(O140="",IF(N140="Oui","Action à définir",IF(N140="Non","Sans action","")),IF(R140="Annulée","Annulée",IF(R140="Réalisée",IF(X140="","À réévaluer","Réalisée"),IF(N(Q140)=0,"Échéance manquante",IF(Q140&lt;p_today,"En retard",IF(Q140-p_today&lt;=p_alert,"Échéance proche","Dans les délais")))))))</f>
        <v/>
      </c>
      <c r="AB140" s="58" t="str">
        <f>IF(AND(A140="",B140="",D140="",F140="",H140="",K140="",O140=""),"",IF(D140="","Mode de défaillance manquant",IF(AND(A140&lt;&gt;"",COUNTIF(am_num,A140)&gt;1),"N° en double",IF(F140="","Gravité G manquante",IF(NOT(IF(ISNUMBER(F140),AND(F140&gt;=1,F140&lt;=10,F140=INT(F140)),FALSE)),"G : entier de 1 à 10",IF(H140="","Occurrence O manquante",IF(NOT(IF(ISNUMBER(H140),AND(H140&gt;=1,H140&lt;=10,H140=INT(H140)),FALSE)),"O : entier de 1 à 10",IF(K140="","Détection D manquante",IF(NOT(IF(ISNUMBER(K140),AND(K140&gt;=1,K140&lt;=10,K140=INT(K140)),FALSE)),"D : entier de 1 à 10",IF(G140="","Cause manquante",IF(AND(O140&lt;&gt;"",P140=""),"Responsable manquant",IF(AND(R140&lt;&gt;"",O140=""),"Statut sans action",IF(AND(R140="Réalisée",N(S140)=0),"Date de réalisation manquante",IF(AND(T140&lt;&gt;"",IF(ISNUMBER(T140),T140&lt;0,TRUE)),"Coût invalide",IF(AND(COUNTBLANK(U140:W140)&gt;0,COUNTBLANK(U140:W140)&lt;3),"Cotation après action incomplète",IF(AND(COUNTBLANK(U140:W140)=0,X140=""),"G', O', D' : entiers de 1 à 10",IF(AND(X140&lt;&gt;"",X140&gt;L140),"IPR après action plus élevé","OK")))))))))))))))))</f>
        <v/>
      </c>
      <c r="AC140" s="59" t="str">
        <f>IF(OR(AA140="En retard",AA140="Échéance proche",AA140="Dans les délais",AA140="Échéance manquante",AA140="Action à définir",AA140="À réévaluer"),IF(OR(plan_who="",P140=plan_who),IF(N(Q140)&gt;0,Q140,99999)*1000+ROW(),""),"")</f>
        <v/>
      </c>
      <c r="AD140" s="59" t="str">
        <f>IF(L140="","",L140*1000+1000-ROW())</f>
        <v/>
      </c>
      <c r="AE140" s="59" t="str">
        <f>IF(IF(AA140="En retard",1,IF(AA140="Action à définir",2,IF(AA140="Échéance manquante",3,IF(AA140="Échéance proche",4,IF(AA140="À réévaluer",5,0)))))=0,"",IF(AA140="En retard",1,IF(AA140="Action à définir",2,IF(AA140="Échéance manquante",3,IF(AA140="Échéance proche",4,IF(AA140="À réévaluer",5,0)))))*100000000+IF(N(Q140)&gt;0,Q140,99999)*1000+ROW())</f>
        <v/>
      </c>
      <c r="AF140" s="59" t="str">
        <f>IF(X140&lt;&gt;"",X140,L140)</f>
        <v/>
      </c>
      <c r="AG140" s="59" t="str">
        <f>IF(X140&lt;&gt;"",Y140,IF(L140&lt;&gt;"",M140,""))</f>
        <v/>
      </c>
      <c r="AH140" s="59" t="str">
        <f>IF(L140="","",IF(X140&lt;&gt;"",U140,F140))</f>
        <v/>
      </c>
      <c r="AI140" s="59" t="str">
        <f>IF(L140="","",IF(X140&lt;&gt;"",V140,H140))</f>
        <v/>
      </c>
    </row>
    <row r="141" ht="30" customHeight="1">
      <c r="A141" s="50" t="n"/>
      <c r="B141" s="51" t="n"/>
      <c r="C141" s="51" t="n"/>
      <c r="D141" s="51" t="n"/>
      <c r="E141" s="51" t="n"/>
      <c r="F141" s="52" t="n"/>
      <c r="G141" s="51" t="n"/>
      <c r="H141" s="52" t="n"/>
      <c r="I141" s="51" t="n"/>
      <c r="J141" s="51" t="n"/>
      <c r="K141" s="52" t="n"/>
      <c r="L141" s="53" t="str">
        <f>IF(AND(IF(ISNUMBER(F141),AND(F141&gt;=1,F141&lt;=10,F141=INT(F141)),FALSE),IF(ISNUMBER(H141),AND(H141&gt;=1,H141&lt;=10,H141=INT(H141)),FALSE),IF(ISNUMBER(K141),AND(K141&gt;=1,K141&lt;=10,K141=INT(K141)),FALSE)),F141*H141*K141,"")</f>
        <v/>
      </c>
      <c r="M141" s="54" t="str">
        <f>IF(L141="",IF(D141="","","À coter"),IF(OR(F141&gt;=p_gmin,L141&gt;=p_ipr_crit),"Critique",IF(L141&gt;=p_ipr_act,"Élevée",IF(L141&gt;=p_ipr_watch,"Moyenne","Faible"))))</f>
        <v/>
      </c>
      <c r="N141" s="54" t="str">
        <f>IF(OR(M141="",M141="À coter"),"",IF(OR(M141="Critique",M141="Élevée"),"Oui","Non"))</f>
        <v/>
      </c>
      <c r="O141" s="51" t="n"/>
      <c r="P141" s="51" t="n"/>
      <c r="Q141" s="55" t="n"/>
      <c r="R141" s="50" t="n"/>
      <c r="S141" s="55" t="n"/>
      <c r="T141" s="56" t="n"/>
      <c r="U141" s="52" t="n"/>
      <c r="V141" s="52" t="n"/>
      <c r="W141" s="52" t="n"/>
      <c r="X141" s="53" t="str">
        <f>IF(AND(L141&lt;&gt;"",IF(ISNUMBER(U141),AND(U141&gt;=1,U141&lt;=10,U141=INT(U141)),FALSE),IF(ISNUMBER(V141),AND(V141&gt;=1,V141&lt;=10,V141=INT(V141)),FALSE),IF(ISNUMBER(W141),AND(W141&gt;=1,W141&lt;=10,W141=INT(W141)),FALSE)),U141*V141*W141,"")</f>
        <v/>
      </c>
      <c r="Y141" s="54" t="str">
        <f>IF(X141="","",IF(OR(U141&gt;=p_gmin,X141&gt;=p_ipr_crit),"Critique",IF(X141&gt;=p_ipr_act,"Élevée",IF(X141&gt;=p_ipr_watch,"Moyenne","Faible"))))</f>
        <v/>
      </c>
      <c r="Z141" s="57" t="str">
        <f>IF(X141="","",(L141-X141)/L141)</f>
        <v/>
      </c>
      <c r="AA141" s="54" t="str">
        <f>IF(AND(D141="",O141=""),"",IF(O141="",IF(N141="Oui","Action à définir",IF(N141="Non","Sans action","")),IF(R141="Annulée","Annulée",IF(R141="Réalisée",IF(X141="","À réévaluer","Réalisée"),IF(N(Q141)=0,"Échéance manquante",IF(Q141&lt;p_today,"En retard",IF(Q141-p_today&lt;=p_alert,"Échéance proche","Dans les délais")))))))</f>
        <v/>
      </c>
      <c r="AB141" s="58" t="str">
        <f>IF(AND(A141="",B141="",D141="",F141="",H141="",K141="",O141=""),"",IF(D141="","Mode de défaillance manquant",IF(AND(A141&lt;&gt;"",COUNTIF(am_num,A141)&gt;1),"N° en double",IF(F141="","Gravité G manquante",IF(NOT(IF(ISNUMBER(F141),AND(F141&gt;=1,F141&lt;=10,F141=INT(F141)),FALSE)),"G : entier de 1 à 10",IF(H141="","Occurrence O manquante",IF(NOT(IF(ISNUMBER(H141),AND(H141&gt;=1,H141&lt;=10,H141=INT(H141)),FALSE)),"O : entier de 1 à 10",IF(K141="","Détection D manquante",IF(NOT(IF(ISNUMBER(K141),AND(K141&gt;=1,K141&lt;=10,K141=INT(K141)),FALSE)),"D : entier de 1 à 10",IF(G141="","Cause manquante",IF(AND(O141&lt;&gt;"",P141=""),"Responsable manquant",IF(AND(R141&lt;&gt;"",O141=""),"Statut sans action",IF(AND(R141="Réalisée",N(S141)=0),"Date de réalisation manquante",IF(AND(T141&lt;&gt;"",IF(ISNUMBER(T141),T141&lt;0,TRUE)),"Coût invalide",IF(AND(COUNTBLANK(U141:W141)&gt;0,COUNTBLANK(U141:W141)&lt;3),"Cotation après action incomplète",IF(AND(COUNTBLANK(U141:W141)=0,X141=""),"G', O', D' : entiers de 1 à 10",IF(AND(X141&lt;&gt;"",X141&gt;L141),"IPR après action plus élevé","OK")))))))))))))))))</f>
        <v/>
      </c>
      <c r="AC141" s="59" t="str">
        <f>IF(OR(AA141="En retard",AA141="Échéance proche",AA141="Dans les délais",AA141="Échéance manquante",AA141="Action à définir",AA141="À réévaluer"),IF(OR(plan_who="",P141=plan_who),IF(N(Q141)&gt;0,Q141,99999)*1000+ROW(),""),"")</f>
        <v/>
      </c>
      <c r="AD141" s="59" t="str">
        <f>IF(L141="","",L141*1000+1000-ROW())</f>
        <v/>
      </c>
      <c r="AE141" s="59" t="str">
        <f>IF(IF(AA141="En retard",1,IF(AA141="Action à définir",2,IF(AA141="Échéance manquante",3,IF(AA141="Échéance proche",4,IF(AA141="À réévaluer",5,0)))))=0,"",IF(AA141="En retard",1,IF(AA141="Action à définir",2,IF(AA141="Échéance manquante",3,IF(AA141="Échéance proche",4,IF(AA141="À réévaluer",5,0)))))*100000000+IF(N(Q141)&gt;0,Q141,99999)*1000+ROW())</f>
        <v/>
      </c>
      <c r="AF141" s="59" t="str">
        <f>IF(X141&lt;&gt;"",X141,L141)</f>
        <v/>
      </c>
      <c r="AG141" s="59" t="str">
        <f>IF(X141&lt;&gt;"",Y141,IF(L141&lt;&gt;"",M141,""))</f>
        <v/>
      </c>
      <c r="AH141" s="59" t="str">
        <f>IF(L141="","",IF(X141&lt;&gt;"",U141,F141))</f>
        <v/>
      </c>
      <c r="AI141" s="59" t="str">
        <f>IF(L141="","",IF(X141&lt;&gt;"",V141,H141))</f>
        <v/>
      </c>
    </row>
    <row r="142" ht="30" customHeight="1">
      <c r="A142" s="50" t="n"/>
      <c r="B142" s="51" t="n"/>
      <c r="C142" s="51" t="n"/>
      <c r="D142" s="51" t="n"/>
      <c r="E142" s="51" t="n"/>
      <c r="F142" s="52" t="n"/>
      <c r="G142" s="51" t="n"/>
      <c r="H142" s="52" t="n"/>
      <c r="I142" s="51" t="n"/>
      <c r="J142" s="51" t="n"/>
      <c r="K142" s="52" t="n"/>
      <c r="L142" s="53" t="str">
        <f>IF(AND(IF(ISNUMBER(F142),AND(F142&gt;=1,F142&lt;=10,F142=INT(F142)),FALSE),IF(ISNUMBER(H142),AND(H142&gt;=1,H142&lt;=10,H142=INT(H142)),FALSE),IF(ISNUMBER(K142),AND(K142&gt;=1,K142&lt;=10,K142=INT(K142)),FALSE)),F142*H142*K142,"")</f>
        <v/>
      </c>
      <c r="M142" s="54" t="str">
        <f>IF(L142="",IF(D142="","","À coter"),IF(OR(F142&gt;=p_gmin,L142&gt;=p_ipr_crit),"Critique",IF(L142&gt;=p_ipr_act,"Élevée",IF(L142&gt;=p_ipr_watch,"Moyenne","Faible"))))</f>
        <v/>
      </c>
      <c r="N142" s="54" t="str">
        <f>IF(OR(M142="",M142="À coter"),"",IF(OR(M142="Critique",M142="Élevée"),"Oui","Non"))</f>
        <v/>
      </c>
      <c r="O142" s="51" t="n"/>
      <c r="P142" s="51" t="n"/>
      <c r="Q142" s="55" t="n"/>
      <c r="R142" s="50" t="n"/>
      <c r="S142" s="55" t="n"/>
      <c r="T142" s="56" t="n"/>
      <c r="U142" s="52" t="n"/>
      <c r="V142" s="52" t="n"/>
      <c r="W142" s="52" t="n"/>
      <c r="X142" s="53" t="str">
        <f>IF(AND(L142&lt;&gt;"",IF(ISNUMBER(U142),AND(U142&gt;=1,U142&lt;=10,U142=INT(U142)),FALSE),IF(ISNUMBER(V142),AND(V142&gt;=1,V142&lt;=10,V142=INT(V142)),FALSE),IF(ISNUMBER(W142),AND(W142&gt;=1,W142&lt;=10,W142=INT(W142)),FALSE)),U142*V142*W142,"")</f>
        <v/>
      </c>
      <c r="Y142" s="54" t="str">
        <f>IF(X142="","",IF(OR(U142&gt;=p_gmin,X142&gt;=p_ipr_crit),"Critique",IF(X142&gt;=p_ipr_act,"Élevée",IF(X142&gt;=p_ipr_watch,"Moyenne","Faible"))))</f>
        <v/>
      </c>
      <c r="Z142" s="57" t="str">
        <f>IF(X142="","",(L142-X142)/L142)</f>
        <v/>
      </c>
      <c r="AA142" s="54" t="str">
        <f>IF(AND(D142="",O142=""),"",IF(O142="",IF(N142="Oui","Action à définir",IF(N142="Non","Sans action","")),IF(R142="Annulée","Annulée",IF(R142="Réalisée",IF(X142="","À réévaluer","Réalisée"),IF(N(Q142)=0,"Échéance manquante",IF(Q142&lt;p_today,"En retard",IF(Q142-p_today&lt;=p_alert,"Échéance proche","Dans les délais")))))))</f>
        <v/>
      </c>
      <c r="AB142" s="58" t="str">
        <f>IF(AND(A142="",B142="",D142="",F142="",H142="",K142="",O142=""),"",IF(D142="","Mode de défaillance manquant",IF(AND(A142&lt;&gt;"",COUNTIF(am_num,A142)&gt;1),"N° en double",IF(F142="","Gravité G manquante",IF(NOT(IF(ISNUMBER(F142),AND(F142&gt;=1,F142&lt;=10,F142=INT(F142)),FALSE)),"G : entier de 1 à 10",IF(H142="","Occurrence O manquante",IF(NOT(IF(ISNUMBER(H142),AND(H142&gt;=1,H142&lt;=10,H142=INT(H142)),FALSE)),"O : entier de 1 à 10",IF(K142="","Détection D manquante",IF(NOT(IF(ISNUMBER(K142),AND(K142&gt;=1,K142&lt;=10,K142=INT(K142)),FALSE)),"D : entier de 1 à 10",IF(G142="","Cause manquante",IF(AND(O142&lt;&gt;"",P142=""),"Responsable manquant",IF(AND(R142&lt;&gt;"",O142=""),"Statut sans action",IF(AND(R142="Réalisée",N(S142)=0),"Date de réalisation manquante",IF(AND(T142&lt;&gt;"",IF(ISNUMBER(T142),T142&lt;0,TRUE)),"Coût invalide",IF(AND(COUNTBLANK(U142:W142)&gt;0,COUNTBLANK(U142:W142)&lt;3),"Cotation après action incomplète",IF(AND(COUNTBLANK(U142:W142)=0,X142=""),"G', O', D' : entiers de 1 à 10",IF(AND(X142&lt;&gt;"",X142&gt;L142),"IPR après action plus élevé","OK")))))))))))))))))</f>
        <v/>
      </c>
      <c r="AC142" s="59" t="str">
        <f>IF(OR(AA142="En retard",AA142="Échéance proche",AA142="Dans les délais",AA142="Échéance manquante",AA142="Action à définir",AA142="À réévaluer"),IF(OR(plan_who="",P142=plan_who),IF(N(Q142)&gt;0,Q142,99999)*1000+ROW(),""),"")</f>
        <v/>
      </c>
      <c r="AD142" s="59" t="str">
        <f>IF(L142="","",L142*1000+1000-ROW())</f>
        <v/>
      </c>
      <c r="AE142" s="59" t="str">
        <f>IF(IF(AA142="En retard",1,IF(AA142="Action à définir",2,IF(AA142="Échéance manquante",3,IF(AA142="Échéance proche",4,IF(AA142="À réévaluer",5,0)))))=0,"",IF(AA142="En retard",1,IF(AA142="Action à définir",2,IF(AA142="Échéance manquante",3,IF(AA142="Échéance proche",4,IF(AA142="À réévaluer",5,0)))))*100000000+IF(N(Q142)&gt;0,Q142,99999)*1000+ROW())</f>
        <v/>
      </c>
      <c r="AF142" s="59" t="str">
        <f>IF(X142&lt;&gt;"",X142,L142)</f>
        <v/>
      </c>
      <c r="AG142" s="59" t="str">
        <f>IF(X142&lt;&gt;"",Y142,IF(L142&lt;&gt;"",M142,""))</f>
        <v/>
      </c>
      <c r="AH142" s="59" t="str">
        <f>IF(L142="","",IF(X142&lt;&gt;"",U142,F142))</f>
        <v/>
      </c>
      <c r="AI142" s="59" t="str">
        <f>IF(L142="","",IF(X142&lt;&gt;"",V142,H142))</f>
        <v/>
      </c>
    </row>
    <row r="143" ht="30" customHeight="1">
      <c r="A143" s="50" t="n"/>
      <c r="B143" s="51" t="n"/>
      <c r="C143" s="51" t="n"/>
      <c r="D143" s="51" t="n"/>
      <c r="E143" s="51" t="n"/>
      <c r="F143" s="52" t="n"/>
      <c r="G143" s="51" t="n"/>
      <c r="H143" s="52" t="n"/>
      <c r="I143" s="51" t="n"/>
      <c r="J143" s="51" t="n"/>
      <c r="K143" s="52" t="n"/>
      <c r="L143" s="53" t="str">
        <f>IF(AND(IF(ISNUMBER(F143),AND(F143&gt;=1,F143&lt;=10,F143=INT(F143)),FALSE),IF(ISNUMBER(H143),AND(H143&gt;=1,H143&lt;=10,H143=INT(H143)),FALSE),IF(ISNUMBER(K143),AND(K143&gt;=1,K143&lt;=10,K143=INT(K143)),FALSE)),F143*H143*K143,"")</f>
        <v/>
      </c>
      <c r="M143" s="54" t="str">
        <f>IF(L143="",IF(D143="","","À coter"),IF(OR(F143&gt;=p_gmin,L143&gt;=p_ipr_crit),"Critique",IF(L143&gt;=p_ipr_act,"Élevée",IF(L143&gt;=p_ipr_watch,"Moyenne","Faible"))))</f>
        <v/>
      </c>
      <c r="N143" s="54" t="str">
        <f>IF(OR(M143="",M143="À coter"),"",IF(OR(M143="Critique",M143="Élevée"),"Oui","Non"))</f>
        <v/>
      </c>
      <c r="O143" s="51" t="n"/>
      <c r="P143" s="51" t="n"/>
      <c r="Q143" s="55" t="n"/>
      <c r="R143" s="50" t="n"/>
      <c r="S143" s="55" t="n"/>
      <c r="T143" s="56" t="n"/>
      <c r="U143" s="52" t="n"/>
      <c r="V143" s="52" t="n"/>
      <c r="W143" s="52" t="n"/>
      <c r="X143" s="53" t="str">
        <f>IF(AND(L143&lt;&gt;"",IF(ISNUMBER(U143),AND(U143&gt;=1,U143&lt;=10,U143=INT(U143)),FALSE),IF(ISNUMBER(V143),AND(V143&gt;=1,V143&lt;=10,V143=INT(V143)),FALSE),IF(ISNUMBER(W143),AND(W143&gt;=1,W143&lt;=10,W143=INT(W143)),FALSE)),U143*V143*W143,"")</f>
        <v/>
      </c>
      <c r="Y143" s="54" t="str">
        <f>IF(X143="","",IF(OR(U143&gt;=p_gmin,X143&gt;=p_ipr_crit),"Critique",IF(X143&gt;=p_ipr_act,"Élevée",IF(X143&gt;=p_ipr_watch,"Moyenne","Faible"))))</f>
        <v/>
      </c>
      <c r="Z143" s="57" t="str">
        <f>IF(X143="","",(L143-X143)/L143)</f>
        <v/>
      </c>
      <c r="AA143" s="54" t="str">
        <f>IF(AND(D143="",O143=""),"",IF(O143="",IF(N143="Oui","Action à définir",IF(N143="Non","Sans action","")),IF(R143="Annulée","Annulée",IF(R143="Réalisée",IF(X143="","À réévaluer","Réalisée"),IF(N(Q143)=0,"Échéance manquante",IF(Q143&lt;p_today,"En retard",IF(Q143-p_today&lt;=p_alert,"Échéance proche","Dans les délais")))))))</f>
        <v/>
      </c>
      <c r="AB143" s="58" t="str">
        <f>IF(AND(A143="",B143="",D143="",F143="",H143="",K143="",O143=""),"",IF(D143="","Mode de défaillance manquant",IF(AND(A143&lt;&gt;"",COUNTIF(am_num,A143)&gt;1),"N° en double",IF(F143="","Gravité G manquante",IF(NOT(IF(ISNUMBER(F143),AND(F143&gt;=1,F143&lt;=10,F143=INT(F143)),FALSE)),"G : entier de 1 à 10",IF(H143="","Occurrence O manquante",IF(NOT(IF(ISNUMBER(H143),AND(H143&gt;=1,H143&lt;=10,H143=INT(H143)),FALSE)),"O : entier de 1 à 10",IF(K143="","Détection D manquante",IF(NOT(IF(ISNUMBER(K143),AND(K143&gt;=1,K143&lt;=10,K143=INT(K143)),FALSE)),"D : entier de 1 à 10",IF(G143="","Cause manquante",IF(AND(O143&lt;&gt;"",P143=""),"Responsable manquant",IF(AND(R143&lt;&gt;"",O143=""),"Statut sans action",IF(AND(R143="Réalisée",N(S143)=0),"Date de réalisation manquante",IF(AND(T143&lt;&gt;"",IF(ISNUMBER(T143),T143&lt;0,TRUE)),"Coût invalide",IF(AND(COUNTBLANK(U143:W143)&gt;0,COUNTBLANK(U143:W143)&lt;3),"Cotation après action incomplète",IF(AND(COUNTBLANK(U143:W143)=0,X143=""),"G', O', D' : entiers de 1 à 10",IF(AND(X143&lt;&gt;"",X143&gt;L143),"IPR après action plus élevé","OK")))))))))))))))))</f>
        <v/>
      </c>
      <c r="AC143" s="59" t="str">
        <f>IF(OR(AA143="En retard",AA143="Échéance proche",AA143="Dans les délais",AA143="Échéance manquante",AA143="Action à définir",AA143="À réévaluer"),IF(OR(plan_who="",P143=plan_who),IF(N(Q143)&gt;0,Q143,99999)*1000+ROW(),""),"")</f>
        <v/>
      </c>
      <c r="AD143" s="59" t="str">
        <f>IF(L143="","",L143*1000+1000-ROW())</f>
        <v/>
      </c>
      <c r="AE143" s="59" t="str">
        <f>IF(IF(AA143="En retard",1,IF(AA143="Action à définir",2,IF(AA143="Échéance manquante",3,IF(AA143="Échéance proche",4,IF(AA143="À réévaluer",5,0)))))=0,"",IF(AA143="En retard",1,IF(AA143="Action à définir",2,IF(AA143="Échéance manquante",3,IF(AA143="Échéance proche",4,IF(AA143="À réévaluer",5,0)))))*100000000+IF(N(Q143)&gt;0,Q143,99999)*1000+ROW())</f>
        <v/>
      </c>
      <c r="AF143" s="59" t="str">
        <f>IF(X143&lt;&gt;"",X143,L143)</f>
        <v/>
      </c>
      <c r="AG143" s="59" t="str">
        <f>IF(X143&lt;&gt;"",Y143,IF(L143&lt;&gt;"",M143,""))</f>
        <v/>
      </c>
      <c r="AH143" s="59" t="str">
        <f>IF(L143="","",IF(X143&lt;&gt;"",U143,F143))</f>
        <v/>
      </c>
      <c r="AI143" s="59" t="str">
        <f>IF(L143="","",IF(X143&lt;&gt;"",V143,H143))</f>
        <v/>
      </c>
    </row>
    <row r="144" ht="30" customHeight="1">
      <c r="A144" s="50" t="n"/>
      <c r="B144" s="51" t="n"/>
      <c r="C144" s="51" t="n"/>
      <c r="D144" s="51" t="n"/>
      <c r="E144" s="51" t="n"/>
      <c r="F144" s="52" t="n"/>
      <c r="G144" s="51" t="n"/>
      <c r="H144" s="52" t="n"/>
      <c r="I144" s="51" t="n"/>
      <c r="J144" s="51" t="n"/>
      <c r="K144" s="52" t="n"/>
      <c r="L144" s="53" t="str">
        <f>IF(AND(IF(ISNUMBER(F144),AND(F144&gt;=1,F144&lt;=10,F144=INT(F144)),FALSE),IF(ISNUMBER(H144),AND(H144&gt;=1,H144&lt;=10,H144=INT(H144)),FALSE),IF(ISNUMBER(K144),AND(K144&gt;=1,K144&lt;=10,K144=INT(K144)),FALSE)),F144*H144*K144,"")</f>
        <v/>
      </c>
      <c r="M144" s="54" t="str">
        <f>IF(L144="",IF(D144="","","À coter"),IF(OR(F144&gt;=p_gmin,L144&gt;=p_ipr_crit),"Critique",IF(L144&gt;=p_ipr_act,"Élevée",IF(L144&gt;=p_ipr_watch,"Moyenne","Faible"))))</f>
        <v/>
      </c>
      <c r="N144" s="54" t="str">
        <f>IF(OR(M144="",M144="À coter"),"",IF(OR(M144="Critique",M144="Élevée"),"Oui","Non"))</f>
        <v/>
      </c>
      <c r="O144" s="51" t="n"/>
      <c r="P144" s="51" t="n"/>
      <c r="Q144" s="55" t="n"/>
      <c r="R144" s="50" t="n"/>
      <c r="S144" s="55" t="n"/>
      <c r="T144" s="56" t="n"/>
      <c r="U144" s="52" t="n"/>
      <c r="V144" s="52" t="n"/>
      <c r="W144" s="52" t="n"/>
      <c r="X144" s="53" t="str">
        <f>IF(AND(L144&lt;&gt;"",IF(ISNUMBER(U144),AND(U144&gt;=1,U144&lt;=10,U144=INT(U144)),FALSE),IF(ISNUMBER(V144),AND(V144&gt;=1,V144&lt;=10,V144=INT(V144)),FALSE),IF(ISNUMBER(W144),AND(W144&gt;=1,W144&lt;=10,W144=INT(W144)),FALSE)),U144*V144*W144,"")</f>
        <v/>
      </c>
      <c r="Y144" s="54" t="str">
        <f>IF(X144="","",IF(OR(U144&gt;=p_gmin,X144&gt;=p_ipr_crit),"Critique",IF(X144&gt;=p_ipr_act,"Élevée",IF(X144&gt;=p_ipr_watch,"Moyenne","Faible"))))</f>
        <v/>
      </c>
      <c r="Z144" s="57" t="str">
        <f>IF(X144="","",(L144-X144)/L144)</f>
        <v/>
      </c>
      <c r="AA144" s="54" t="str">
        <f>IF(AND(D144="",O144=""),"",IF(O144="",IF(N144="Oui","Action à définir",IF(N144="Non","Sans action","")),IF(R144="Annulée","Annulée",IF(R144="Réalisée",IF(X144="","À réévaluer","Réalisée"),IF(N(Q144)=0,"Échéance manquante",IF(Q144&lt;p_today,"En retard",IF(Q144-p_today&lt;=p_alert,"Échéance proche","Dans les délais")))))))</f>
        <v/>
      </c>
      <c r="AB144" s="58" t="str">
        <f>IF(AND(A144="",B144="",D144="",F144="",H144="",K144="",O144=""),"",IF(D144="","Mode de défaillance manquant",IF(AND(A144&lt;&gt;"",COUNTIF(am_num,A144)&gt;1),"N° en double",IF(F144="","Gravité G manquante",IF(NOT(IF(ISNUMBER(F144),AND(F144&gt;=1,F144&lt;=10,F144=INT(F144)),FALSE)),"G : entier de 1 à 10",IF(H144="","Occurrence O manquante",IF(NOT(IF(ISNUMBER(H144),AND(H144&gt;=1,H144&lt;=10,H144=INT(H144)),FALSE)),"O : entier de 1 à 10",IF(K144="","Détection D manquante",IF(NOT(IF(ISNUMBER(K144),AND(K144&gt;=1,K144&lt;=10,K144=INT(K144)),FALSE)),"D : entier de 1 à 10",IF(G144="","Cause manquante",IF(AND(O144&lt;&gt;"",P144=""),"Responsable manquant",IF(AND(R144&lt;&gt;"",O144=""),"Statut sans action",IF(AND(R144="Réalisée",N(S144)=0),"Date de réalisation manquante",IF(AND(T144&lt;&gt;"",IF(ISNUMBER(T144),T144&lt;0,TRUE)),"Coût invalide",IF(AND(COUNTBLANK(U144:W144)&gt;0,COUNTBLANK(U144:W144)&lt;3),"Cotation après action incomplète",IF(AND(COUNTBLANK(U144:W144)=0,X144=""),"G', O', D' : entiers de 1 à 10",IF(AND(X144&lt;&gt;"",X144&gt;L144),"IPR après action plus élevé","OK")))))))))))))))))</f>
        <v/>
      </c>
      <c r="AC144" s="59" t="str">
        <f>IF(OR(AA144="En retard",AA144="Échéance proche",AA144="Dans les délais",AA144="Échéance manquante",AA144="Action à définir",AA144="À réévaluer"),IF(OR(plan_who="",P144=plan_who),IF(N(Q144)&gt;0,Q144,99999)*1000+ROW(),""),"")</f>
        <v/>
      </c>
      <c r="AD144" s="59" t="str">
        <f>IF(L144="","",L144*1000+1000-ROW())</f>
        <v/>
      </c>
      <c r="AE144" s="59" t="str">
        <f>IF(IF(AA144="En retard",1,IF(AA144="Action à définir",2,IF(AA144="Échéance manquante",3,IF(AA144="Échéance proche",4,IF(AA144="À réévaluer",5,0)))))=0,"",IF(AA144="En retard",1,IF(AA144="Action à définir",2,IF(AA144="Échéance manquante",3,IF(AA144="Échéance proche",4,IF(AA144="À réévaluer",5,0)))))*100000000+IF(N(Q144)&gt;0,Q144,99999)*1000+ROW())</f>
        <v/>
      </c>
      <c r="AF144" s="59" t="str">
        <f>IF(X144&lt;&gt;"",X144,L144)</f>
        <v/>
      </c>
      <c r="AG144" s="59" t="str">
        <f>IF(X144&lt;&gt;"",Y144,IF(L144&lt;&gt;"",M144,""))</f>
        <v/>
      </c>
      <c r="AH144" s="59" t="str">
        <f>IF(L144="","",IF(X144&lt;&gt;"",U144,F144))</f>
        <v/>
      </c>
      <c r="AI144" s="59" t="str">
        <f>IF(L144="","",IF(X144&lt;&gt;"",V144,H144))</f>
        <v/>
      </c>
    </row>
    <row r="145" ht="30" customHeight="1">
      <c r="A145" s="50" t="n"/>
      <c r="B145" s="51" t="n"/>
      <c r="C145" s="51" t="n"/>
      <c r="D145" s="51" t="n"/>
      <c r="E145" s="51" t="n"/>
      <c r="F145" s="52" t="n"/>
      <c r="G145" s="51" t="n"/>
      <c r="H145" s="52" t="n"/>
      <c r="I145" s="51" t="n"/>
      <c r="J145" s="51" t="n"/>
      <c r="K145" s="52" t="n"/>
      <c r="L145" s="53" t="str">
        <f>IF(AND(IF(ISNUMBER(F145),AND(F145&gt;=1,F145&lt;=10,F145=INT(F145)),FALSE),IF(ISNUMBER(H145),AND(H145&gt;=1,H145&lt;=10,H145=INT(H145)),FALSE),IF(ISNUMBER(K145),AND(K145&gt;=1,K145&lt;=10,K145=INT(K145)),FALSE)),F145*H145*K145,"")</f>
        <v/>
      </c>
      <c r="M145" s="54" t="str">
        <f>IF(L145="",IF(D145="","","À coter"),IF(OR(F145&gt;=p_gmin,L145&gt;=p_ipr_crit),"Critique",IF(L145&gt;=p_ipr_act,"Élevée",IF(L145&gt;=p_ipr_watch,"Moyenne","Faible"))))</f>
        <v/>
      </c>
      <c r="N145" s="54" t="str">
        <f>IF(OR(M145="",M145="À coter"),"",IF(OR(M145="Critique",M145="Élevée"),"Oui","Non"))</f>
        <v/>
      </c>
      <c r="O145" s="51" t="n"/>
      <c r="P145" s="51" t="n"/>
      <c r="Q145" s="55" t="n"/>
      <c r="R145" s="50" t="n"/>
      <c r="S145" s="55" t="n"/>
      <c r="T145" s="56" t="n"/>
      <c r="U145" s="52" t="n"/>
      <c r="V145" s="52" t="n"/>
      <c r="W145" s="52" t="n"/>
      <c r="X145" s="53" t="str">
        <f>IF(AND(L145&lt;&gt;"",IF(ISNUMBER(U145),AND(U145&gt;=1,U145&lt;=10,U145=INT(U145)),FALSE),IF(ISNUMBER(V145),AND(V145&gt;=1,V145&lt;=10,V145=INT(V145)),FALSE),IF(ISNUMBER(W145),AND(W145&gt;=1,W145&lt;=10,W145=INT(W145)),FALSE)),U145*V145*W145,"")</f>
        <v/>
      </c>
      <c r="Y145" s="54" t="str">
        <f>IF(X145="","",IF(OR(U145&gt;=p_gmin,X145&gt;=p_ipr_crit),"Critique",IF(X145&gt;=p_ipr_act,"Élevée",IF(X145&gt;=p_ipr_watch,"Moyenne","Faible"))))</f>
        <v/>
      </c>
      <c r="Z145" s="57" t="str">
        <f>IF(X145="","",(L145-X145)/L145)</f>
        <v/>
      </c>
      <c r="AA145" s="54" t="str">
        <f>IF(AND(D145="",O145=""),"",IF(O145="",IF(N145="Oui","Action à définir",IF(N145="Non","Sans action","")),IF(R145="Annulée","Annulée",IF(R145="Réalisée",IF(X145="","À réévaluer","Réalisée"),IF(N(Q145)=0,"Échéance manquante",IF(Q145&lt;p_today,"En retard",IF(Q145-p_today&lt;=p_alert,"Échéance proche","Dans les délais")))))))</f>
        <v/>
      </c>
      <c r="AB145" s="58" t="str">
        <f>IF(AND(A145="",B145="",D145="",F145="",H145="",K145="",O145=""),"",IF(D145="","Mode de défaillance manquant",IF(AND(A145&lt;&gt;"",COUNTIF(am_num,A145)&gt;1),"N° en double",IF(F145="","Gravité G manquante",IF(NOT(IF(ISNUMBER(F145),AND(F145&gt;=1,F145&lt;=10,F145=INT(F145)),FALSE)),"G : entier de 1 à 10",IF(H145="","Occurrence O manquante",IF(NOT(IF(ISNUMBER(H145),AND(H145&gt;=1,H145&lt;=10,H145=INT(H145)),FALSE)),"O : entier de 1 à 10",IF(K145="","Détection D manquante",IF(NOT(IF(ISNUMBER(K145),AND(K145&gt;=1,K145&lt;=10,K145=INT(K145)),FALSE)),"D : entier de 1 à 10",IF(G145="","Cause manquante",IF(AND(O145&lt;&gt;"",P145=""),"Responsable manquant",IF(AND(R145&lt;&gt;"",O145=""),"Statut sans action",IF(AND(R145="Réalisée",N(S145)=0),"Date de réalisation manquante",IF(AND(T145&lt;&gt;"",IF(ISNUMBER(T145),T145&lt;0,TRUE)),"Coût invalide",IF(AND(COUNTBLANK(U145:W145)&gt;0,COUNTBLANK(U145:W145)&lt;3),"Cotation après action incomplète",IF(AND(COUNTBLANK(U145:W145)=0,X145=""),"G', O', D' : entiers de 1 à 10",IF(AND(X145&lt;&gt;"",X145&gt;L145),"IPR après action plus élevé","OK")))))))))))))))))</f>
        <v/>
      </c>
      <c r="AC145" s="59" t="str">
        <f>IF(OR(AA145="En retard",AA145="Échéance proche",AA145="Dans les délais",AA145="Échéance manquante",AA145="Action à définir",AA145="À réévaluer"),IF(OR(plan_who="",P145=plan_who),IF(N(Q145)&gt;0,Q145,99999)*1000+ROW(),""),"")</f>
        <v/>
      </c>
      <c r="AD145" s="59" t="str">
        <f>IF(L145="","",L145*1000+1000-ROW())</f>
        <v/>
      </c>
      <c r="AE145" s="59" t="str">
        <f>IF(IF(AA145="En retard",1,IF(AA145="Action à définir",2,IF(AA145="Échéance manquante",3,IF(AA145="Échéance proche",4,IF(AA145="À réévaluer",5,0)))))=0,"",IF(AA145="En retard",1,IF(AA145="Action à définir",2,IF(AA145="Échéance manquante",3,IF(AA145="Échéance proche",4,IF(AA145="À réévaluer",5,0)))))*100000000+IF(N(Q145)&gt;0,Q145,99999)*1000+ROW())</f>
        <v/>
      </c>
      <c r="AF145" s="59" t="str">
        <f>IF(X145&lt;&gt;"",X145,L145)</f>
        <v/>
      </c>
      <c r="AG145" s="59" t="str">
        <f>IF(X145&lt;&gt;"",Y145,IF(L145&lt;&gt;"",M145,""))</f>
        <v/>
      </c>
      <c r="AH145" s="59" t="str">
        <f>IF(L145="","",IF(X145&lt;&gt;"",U145,F145))</f>
        <v/>
      </c>
      <c r="AI145" s="59" t="str">
        <f>IF(L145="","",IF(X145&lt;&gt;"",V145,H145))</f>
        <v/>
      </c>
    </row>
    <row r="146" ht="30" customHeight="1">
      <c r="A146" s="50" t="n"/>
      <c r="B146" s="51" t="n"/>
      <c r="C146" s="51" t="n"/>
      <c r="D146" s="51" t="n"/>
      <c r="E146" s="51" t="n"/>
      <c r="F146" s="52" t="n"/>
      <c r="G146" s="51" t="n"/>
      <c r="H146" s="52" t="n"/>
      <c r="I146" s="51" t="n"/>
      <c r="J146" s="51" t="n"/>
      <c r="K146" s="52" t="n"/>
      <c r="L146" s="53" t="str">
        <f>IF(AND(IF(ISNUMBER(F146),AND(F146&gt;=1,F146&lt;=10,F146=INT(F146)),FALSE),IF(ISNUMBER(H146),AND(H146&gt;=1,H146&lt;=10,H146=INT(H146)),FALSE),IF(ISNUMBER(K146),AND(K146&gt;=1,K146&lt;=10,K146=INT(K146)),FALSE)),F146*H146*K146,"")</f>
        <v/>
      </c>
      <c r="M146" s="54" t="str">
        <f>IF(L146="",IF(D146="","","À coter"),IF(OR(F146&gt;=p_gmin,L146&gt;=p_ipr_crit),"Critique",IF(L146&gt;=p_ipr_act,"Élevée",IF(L146&gt;=p_ipr_watch,"Moyenne","Faible"))))</f>
        <v/>
      </c>
      <c r="N146" s="54" t="str">
        <f>IF(OR(M146="",M146="À coter"),"",IF(OR(M146="Critique",M146="Élevée"),"Oui","Non"))</f>
        <v/>
      </c>
      <c r="O146" s="51" t="n"/>
      <c r="P146" s="51" t="n"/>
      <c r="Q146" s="55" t="n"/>
      <c r="R146" s="50" t="n"/>
      <c r="S146" s="55" t="n"/>
      <c r="T146" s="56" t="n"/>
      <c r="U146" s="52" t="n"/>
      <c r="V146" s="52" t="n"/>
      <c r="W146" s="52" t="n"/>
      <c r="X146" s="53" t="str">
        <f>IF(AND(L146&lt;&gt;"",IF(ISNUMBER(U146),AND(U146&gt;=1,U146&lt;=10,U146=INT(U146)),FALSE),IF(ISNUMBER(V146),AND(V146&gt;=1,V146&lt;=10,V146=INT(V146)),FALSE),IF(ISNUMBER(W146),AND(W146&gt;=1,W146&lt;=10,W146=INT(W146)),FALSE)),U146*V146*W146,"")</f>
        <v/>
      </c>
      <c r="Y146" s="54" t="str">
        <f>IF(X146="","",IF(OR(U146&gt;=p_gmin,X146&gt;=p_ipr_crit),"Critique",IF(X146&gt;=p_ipr_act,"Élevée",IF(X146&gt;=p_ipr_watch,"Moyenne","Faible"))))</f>
        <v/>
      </c>
      <c r="Z146" s="57" t="str">
        <f>IF(X146="","",(L146-X146)/L146)</f>
        <v/>
      </c>
      <c r="AA146" s="54" t="str">
        <f>IF(AND(D146="",O146=""),"",IF(O146="",IF(N146="Oui","Action à définir",IF(N146="Non","Sans action","")),IF(R146="Annulée","Annulée",IF(R146="Réalisée",IF(X146="","À réévaluer","Réalisée"),IF(N(Q146)=0,"Échéance manquante",IF(Q146&lt;p_today,"En retard",IF(Q146-p_today&lt;=p_alert,"Échéance proche","Dans les délais")))))))</f>
        <v/>
      </c>
      <c r="AB146" s="58" t="str">
        <f>IF(AND(A146="",B146="",D146="",F146="",H146="",K146="",O146=""),"",IF(D146="","Mode de défaillance manquant",IF(AND(A146&lt;&gt;"",COUNTIF(am_num,A146)&gt;1),"N° en double",IF(F146="","Gravité G manquante",IF(NOT(IF(ISNUMBER(F146),AND(F146&gt;=1,F146&lt;=10,F146=INT(F146)),FALSE)),"G : entier de 1 à 10",IF(H146="","Occurrence O manquante",IF(NOT(IF(ISNUMBER(H146),AND(H146&gt;=1,H146&lt;=10,H146=INT(H146)),FALSE)),"O : entier de 1 à 10",IF(K146="","Détection D manquante",IF(NOT(IF(ISNUMBER(K146),AND(K146&gt;=1,K146&lt;=10,K146=INT(K146)),FALSE)),"D : entier de 1 à 10",IF(G146="","Cause manquante",IF(AND(O146&lt;&gt;"",P146=""),"Responsable manquant",IF(AND(R146&lt;&gt;"",O146=""),"Statut sans action",IF(AND(R146="Réalisée",N(S146)=0),"Date de réalisation manquante",IF(AND(T146&lt;&gt;"",IF(ISNUMBER(T146),T146&lt;0,TRUE)),"Coût invalide",IF(AND(COUNTBLANK(U146:W146)&gt;0,COUNTBLANK(U146:W146)&lt;3),"Cotation après action incomplète",IF(AND(COUNTBLANK(U146:W146)=0,X146=""),"G', O', D' : entiers de 1 à 10",IF(AND(X146&lt;&gt;"",X146&gt;L146),"IPR après action plus élevé","OK")))))))))))))))))</f>
        <v/>
      </c>
      <c r="AC146" s="59" t="str">
        <f>IF(OR(AA146="En retard",AA146="Échéance proche",AA146="Dans les délais",AA146="Échéance manquante",AA146="Action à définir",AA146="À réévaluer"),IF(OR(plan_who="",P146=plan_who),IF(N(Q146)&gt;0,Q146,99999)*1000+ROW(),""),"")</f>
        <v/>
      </c>
      <c r="AD146" s="59" t="str">
        <f>IF(L146="","",L146*1000+1000-ROW())</f>
        <v/>
      </c>
      <c r="AE146" s="59" t="str">
        <f>IF(IF(AA146="En retard",1,IF(AA146="Action à définir",2,IF(AA146="Échéance manquante",3,IF(AA146="Échéance proche",4,IF(AA146="À réévaluer",5,0)))))=0,"",IF(AA146="En retard",1,IF(AA146="Action à définir",2,IF(AA146="Échéance manquante",3,IF(AA146="Échéance proche",4,IF(AA146="À réévaluer",5,0)))))*100000000+IF(N(Q146)&gt;0,Q146,99999)*1000+ROW())</f>
        <v/>
      </c>
      <c r="AF146" s="59" t="str">
        <f>IF(X146&lt;&gt;"",X146,L146)</f>
        <v/>
      </c>
      <c r="AG146" s="59" t="str">
        <f>IF(X146&lt;&gt;"",Y146,IF(L146&lt;&gt;"",M146,""))</f>
        <v/>
      </c>
      <c r="AH146" s="59" t="str">
        <f>IF(L146="","",IF(X146&lt;&gt;"",U146,F146))</f>
        <v/>
      </c>
      <c r="AI146" s="59" t="str">
        <f>IF(L146="","",IF(X146&lt;&gt;"",V146,H146))</f>
        <v/>
      </c>
    </row>
    <row r="147" ht="30" customHeight="1">
      <c r="A147" s="50" t="n"/>
      <c r="B147" s="51" t="n"/>
      <c r="C147" s="51" t="n"/>
      <c r="D147" s="51" t="n"/>
      <c r="E147" s="51" t="n"/>
      <c r="F147" s="52" t="n"/>
      <c r="G147" s="51" t="n"/>
      <c r="H147" s="52" t="n"/>
      <c r="I147" s="51" t="n"/>
      <c r="J147" s="51" t="n"/>
      <c r="K147" s="52" t="n"/>
      <c r="L147" s="53" t="str">
        <f>IF(AND(IF(ISNUMBER(F147),AND(F147&gt;=1,F147&lt;=10,F147=INT(F147)),FALSE),IF(ISNUMBER(H147),AND(H147&gt;=1,H147&lt;=10,H147=INT(H147)),FALSE),IF(ISNUMBER(K147),AND(K147&gt;=1,K147&lt;=10,K147=INT(K147)),FALSE)),F147*H147*K147,"")</f>
        <v/>
      </c>
      <c r="M147" s="54" t="str">
        <f>IF(L147="",IF(D147="","","À coter"),IF(OR(F147&gt;=p_gmin,L147&gt;=p_ipr_crit),"Critique",IF(L147&gt;=p_ipr_act,"Élevée",IF(L147&gt;=p_ipr_watch,"Moyenne","Faible"))))</f>
        <v/>
      </c>
      <c r="N147" s="54" t="str">
        <f>IF(OR(M147="",M147="À coter"),"",IF(OR(M147="Critique",M147="Élevée"),"Oui","Non"))</f>
        <v/>
      </c>
      <c r="O147" s="51" t="n"/>
      <c r="P147" s="51" t="n"/>
      <c r="Q147" s="55" t="n"/>
      <c r="R147" s="50" t="n"/>
      <c r="S147" s="55" t="n"/>
      <c r="T147" s="56" t="n"/>
      <c r="U147" s="52" t="n"/>
      <c r="V147" s="52" t="n"/>
      <c r="W147" s="52" t="n"/>
      <c r="X147" s="53" t="str">
        <f>IF(AND(L147&lt;&gt;"",IF(ISNUMBER(U147),AND(U147&gt;=1,U147&lt;=10,U147=INT(U147)),FALSE),IF(ISNUMBER(V147),AND(V147&gt;=1,V147&lt;=10,V147=INT(V147)),FALSE),IF(ISNUMBER(W147),AND(W147&gt;=1,W147&lt;=10,W147=INT(W147)),FALSE)),U147*V147*W147,"")</f>
        <v/>
      </c>
      <c r="Y147" s="54" t="str">
        <f>IF(X147="","",IF(OR(U147&gt;=p_gmin,X147&gt;=p_ipr_crit),"Critique",IF(X147&gt;=p_ipr_act,"Élevée",IF(X147&gt;=p_ipr_watch,"Moyenne","Faible"))))</f>
        <v/>
      </c>
      <c r="Z147" s="57" t="str">
        <f>IF(X147="","",(L147-X147)/L147)</f>
        <v/>
      </c>
      <c r="AA147" s="54" t="str">
        <f>IF(AND(D147="",O147=""),"",IF(O147="",IF(N147="Oui","Action à définir",IF(N147="Non","Sans action","")),IF(R147="Annulée","Annulée",IF(R147="Réalisée",IF(X147="","À réévaluer","Réalisée"),IF(N(Q147)=0,"Échéance manquante",IF(Q147&lt;p_today,"En retard",IF(Q147-p_today&lt;=p_alert,"Échéance proche","Dans les délais")))))))</f>
        <v/>
      </c>
      <c r="AB147" s="58" t="str">
        <f>IF(AND(A147="",B147="",D147="",F147="",H147="",K147="",O147=""),"",IF(D147="","Mode de défaillance manquant",IF(AND(A147&lt;&gt;"",COUNTIF(am_num,A147)&gt;1),"N° en double",IF(F147="","Gravité G manquante",IF(NOT(IF(ISNUMBER(F147),AND(F147&gt;=1,F147&lt;=10,F147=INT(F147)),FALSE)),"G : entier de 1 à 10",IF(H147="","Occurrence O manquante",IF(NOT(IF(ISNUMBER(H147),AND(H147&gt;=1,H147&lt;=10,H147=INT(H147)),FALSE)),"O : entier de 1 à 10",IF(K147="","Détection D manquante",IF(NOT(IF(ISNUMBER(K147),AND(K147&gt;=1,K147&lt;=10,K147=INT(K147)),FALSE)),"D : entier de 1 à 10",IF(G147="","Cause manquante",IF(AND(O147&lt;&gt;"",P147=""),"Responsable manquant",IF(AND(R147&lt;&gt;"",O147=""),"Statut sans action",IF(AND(R147="Réalisée",N(S147)=0),"Date de réalisation manquante",IF(AND(T147&lt;&gt;"",IF(ISNUMBER(T147),T147&lt;0,TRUE)),"Coût invalide",IF(AND(COUNTBLANK(U147:W147)&gt;0,COUNTBLANK(U147:W147)&lt;3),"Cotation après action incomplète",IF(AND(COUNTBLANK(U147:W147)=0,X147=""),"G', O', D' : entiers de 1 à 10",IF(AND(X147&lt;&gt;"",X147&gt;L147),"IPR après action plus élevé","OK")))))))))))))))))</f>
        <v/>
      </c>
      <c r="AC147" s="59" t="str">
        <f>IF(OR(AA147="En retard",AA147="Échéance proche",AA147="Dans les délais",AA147="Échéance manquante",AA147="Action à définir",AA147="À réévaluer"),IF(OR(plan_who="",P147=plan_who),IF(N(Q147)&gt;0,Q147,99999)*1000+ROW(),""),"")</f>
        <v/>
      </c>
      <c r="AD147" s="59" t="str">
        <f>IF(L147="","",L147*1000+1000-ROW())</f>
        <v/>
      </c>
      <c r="AE147" s="59" t="str">
        <f>IF(IF(AA147="En retard",1,IF(AA147="Action à définir",2,IF(AA147="Échéance manquante",3,IF(AA147="Échéance proche",4,IF(AA147="À réévaluer",5,0)))))=0,"",IF(AA147="En retard",1,IF(AA147="Action à définir",2,IF(AA147="Échéance manquante",3,IF(AA147="Échéance proche",4,IF(AA147="À réévaluer",5,0)))))*100000000+IF(N(Q147)&gt;0,Q147,99999)*1000+ROW())</f>
        <v/>
      </c>
      <c r="AF147" s="59" t="str">
        <f>IF(X147&lt;&gt;"",X147,L147)</f>
        <v/>
      </c>
      <c r="AG147" s="59" t="str">
        <f>IF(X147&lt;&gt;"",Y147,IF(L147&lt;&gt;"",M147,""))</f>
        <v/>
      </c>
      <c r="AH147" s="59" t="str">
        <f>IF(L147="","",IF(X147&lt;&gt;"",U147,F147))</f>
        <v/>
      </c>
      <c r="AI147" s="59" t="str">
        <f>IF(L147="","",IF(X147&lt;&gt;"",V147,H147))</f>
        <v/>
      </c>
    </row>
    <row r="148" ht="30" customHeight="1">
      <c r="A148" s="50" t="n"/>
      <c r="B148" s="51" t="n"/>
      <c r="C148" s="51" t="n"/>
      <c r="D148" s="51" t="n"/>
      <c r="E148" s="51" t="n"/>
      <c r="F148" s="52" t="n"/>
      <c r="G148" s="51" t="n"/>
      <c r="H148" s="52" t="n"/>
      <c r="I148" s="51" t="n"/>
      <c r="J148" s="51" t="n"/>
      <c r="K148" s="52" t="n"/>
      <c r="L148" s="53" t="str">
        <f>IF(AND(IF(ISNUMBER(F148),AND(F148&gt;=1,F148&lt;=10,F148=INT(F148)),FALSE),IF(ISNUMBER(H148),AND(H148&gt;=1,H148&lt;=10,H148=INT(H148)),FALSE),IF(ISNUMBER(K148),AND(K148&gt;=1,K148&lt;=10,K148=INT(K148)),FALSE)),F148*H148*K148,"")</f>
        <v/>
      </c>
      <c r="M148" s="54" t="str">
        <f>IF(L148="",IF(D148="","","À coter"),IF(OR(F148&gt;=p_gmin,L148&gt;=p_ipr_crit),"Critique",IF(L148&gt;=p_ipr_act,"Élevée",IF(L148&gt;=p_ipr_watch,"Moyenne","Faible"))))</f>
        <v/>
      </c>
      <c r="N148" s="54" t="str">
        <f>IF(OR(M148="",M148="À coter"),"",IF(OR(M148="Critique",M148="Élevée"),"Oui","Non"))</f>
        <v/>
      </c>
      <c r="O148" s="51" t="n"/>
      <c r="P148" s="51" t="n"/>
      <c r="Q148" s="55" t="n"/>
      <c r="R148" s="50" t="n"/>
      <c r="S148" s="55" t="n"/>
      <c r="T148" s="56" t="n"/>
      <c r="U148" s="52" t="n"/>
      <c r="V148" s="52" t="n"/>
      <c r="W148" s="52" t="n"/>
      <c r="X148" s="53" t="str">
        <f>IF(AND(L148&lt;&gt;"",IF(ISNUMBER(U148),AND(U148&gt;=1,U148&lt;=10,U148=INT(U148)),FALSE),IF(ISNUMBER(V148),AND(V148&gt;=1,V148&lt;=10,V148=INT(V148)),FALSE),IF(ISNUMBER(W148),AND(W148&gt;=1,W148&lt;=10,W148=INT(W148)),FALSE)),U148*V148*W148,"")</f>
        <v/>
      </c>
      <c r="Y148" s="54" t="str">
        <f>IF(X148="","",IF(OR(U148&gt;=p_gmin,X148&gt;=p_ipr_crit),"Critique",IF(X148&gt;=p_ipr_act,"Élevée",IF(X148&gt;=p_ipr_watch,"Moyenne","Faible"))))</f>
        <v/>
      </c>
      <c r="Z148" s="57" t="str">
        <f>IF(X148="","",(L148-X148)/L148)</f>
        <v/>
      </c>
      <c r="AA148" s="54" t="str">
        <f>IF(AND(D148="",O148=""),"",IF(O148="",IF(N148="Oui","Action à définir",IF(N148="Non","Sans action","")),IF(R148="Annulée","Annulée",IF(R148="Réalisée",IF(X148="","À réévaluer","Réalisée"),IF(N(Q148)=0,"Échéance manquante",IF(Q148&lt;p_today,"En retard",IF(Q148-p_today&lt;=p_alert,"Échéance proche","Dans les délais")))))))</f>
        <v/>
      </c>
      <c r="AB148" s="58" t="str">
        <f>IF(AND(A148="",B148="",D148="",F148="",H148="",K148="",O148=""),"",IF(D148="","Mode de défaillance manquant",IF(AND(A148&lt;&gt;"",COUNTIF(am_num,A148)&gt;1),"N° en double",IF(F148="","Gravité G manquante",IF(NOT(IF(ISNUMBER(F148),AND(F148&gt;=1,F148&lt;=10,F148=INT(F148)),FALSE)),"G : entier de 1 à 10",IF(H148="","Occurrence O manquante",IF(NOT(IF(ISNUMBER(H148),AND(H148&gt;=1,H148&lt;=10,H148=INT(H148)),FALSE)),"O : entier de 1 à 10",IF(K148="","Détection D manquante",IF(NOT(IF(ISNUMBER(K148),AND(K148&gt;=1,K148&lt;=10,K148=INT(K148)),FALSE)),"D : entier de 1 à 10",IF(G148="","Cause manquante",IF(AND(O148&lt;&gt;"",P148=""),"Responsable manquant",IF(AND(R148&lt;&gt;"",O148=""),"Statut sans action",IF(AND(R148="Réalisée",N(S148)=0),"Date de réalisation manquante",IF(AND(T148&lt;&gt;"",IF(ISNUMBER(T148),T148&lt;0,TRUE)),"Coût invalide",IF(AND(COUNTBLANK(U148:W148)&gt;0,COUNTBLANK(U148:W148)&lt;3),"Cotation après action incomplète",IF(AND(COUNTBLANK(U148:W148)=0,X148=""),"G', O', D' : entiers de 1 à 10",IF(AND(X148&lt;&gt;"",X148&gt;L148),"IPR après action plus élevé","OK")))))))))))))))))</f>
        <v/>
      </c>
      <c r="AC148" s="59" t="str">
        <f>IF(OR(AA148="En retard",AA148="Échéance proche",AA148="Dans les délais",AA148="Échéance manquante",AA148="Action à définir",AA148="À réévaluer"),IF(OR(plan_who="",P148=plan_who),IF(N(Q148)&gt;0,Q148,99999)*1000+ROW(),""),"")</f>
        <v/>
      </c>
      <c r="AD148" s="59" t="str">
        <f>IF(L148="","",L148*1000+1000-ROW())</f>
        <v/>
      </c>
      <c r="AE148" s="59" t="str">
        <f>IF(IF(AA148="En retard",1,IF(AA148="Action à définir",2,IF(AA148="Échéance manquante",3,IF(AA148="Échéance proche",4,IF(AA148="À réévaluer",5,0)))))=0,"",IF(AA148="En retard",1,IF(AA148="Action à définir",2,IF(AA148="Échéance manquante",3,IF(AA148="Échéance proche",4,IF(AA148="À réévaluer",5,0)))))*100000000+IF(N(Q148)&gt;0,Q148,99999)*1000+ROW())</f>
        <v/>
      </c>
      <c r="AF148" s="59" t="str">
        <f>IF(X148&lt;&gt;"",X148,L148)</f>
        <v/>
      </c>
      <c r="AG148" s="59" t="str">
        <f>IF(X148&lt;&gt;"",Y148,IF(L148&lt;&gt;"",M148,""))</f>
        <v/>
      </c>
      <c r="AH148" s="59" t="str">
        <f>IF(L148="","",IF(X148&lt;&gt;"",U148,F148))</f>
        <v/>
      </c>
      <c r="AI148" s="59" t="str">
        <f>IF(L148="","",IF(X148&lt;&gt;"",V148,H148))</f>
        <v/>
      </c>
    </row>
    <row r="149" ht="30" customHeight="1">
      <c r="A149" s="50" t="n"/>
      <c r="B149" s="51" t="n"/>
      <c r="C149" s="51" t="n"/>
      <c r="D149" s="51" t="n"/>
      <c r="E149" s="51" t="n"/>
      <c r="F149" s="52" t="n"/>
      <c r="G149" s="51" t="n"/>
      <c r="H149" s="52" t="n"/>
      <c r="I149" s="51" t="n"/>
      <c r="J149" s="51" t="n"/>
      <c r="K149" s="52" t="n"/>
      <c r="L149" s="53" t="str">
        <f>IF(AND(IF(ISNUMBER(F149),AND(F149&gt;=1,F149&lt;=10,F149=INT(F149)),FALSE),IF(ISNUMBER(H149),AND(H149&gt;=1,H149&lt;=10,H149=INT(H149)),FALSE),IF(ISNUMBER(K149),AND(K149&gt;=1,K149&lt;=10,K149=INT(K149)),FALSE)),F149*H149*K149,"")</f>
        <v/>
      </c>
      <c r="M149" s="54" t="str">
        <f>IF(L149="",IF(D149="","","À coter"),IF(OR(F149&gt;=p_gmin,L149&gt;=p_ipr_crit),"Critique",IF(L149&gt;=p_ipr_act,"Élevée",IF(L149&gt;=p_ipr_watch,"Moyenne","Faible"))))</f>
        <v/>
      </c>
      <c r="N149" s="54" t="str">
        <f>IF(OR(M149="",M149="À coter"),"",IF(OR(M149="Critique",M149="Élevée"),"Oui","Non"))</f>
        <v/>
      </c>
      <c r="O149" s="51" t="n"/>
      <c r="P149" s="51" t="n"/>
      <c r="Q149" s="55" t="n"/>
      <c r="R149" s="50" t="n"/>
      <c r="S149" s="55" t="n"/>
      <c r="T149" s="56" t="n"/>
      <c r="U149" s="52" t="n"/>
      <c r="V149" s="52" t="n"/>
      <c r="W149" s="52" t="n"/>
      <c r="X149" s="53" t="str">
        <f>IF(AND(L149&lt;&gt;"",IF(ISNUMBER(U149),AND(U149&gt;=1,U149&lt;=10,U149=INT(U149)),FALSE),IF(ISNUMBER(V149),AND(V149&gt;=1,V149&lt;=10,V149=INT(V149)),FALSE),IF(ISNUMBER(W149),AND(W149&gt;=1,W149&lt;=10,W149=INT(W149)),FALSE)),U149*V149*W149,"")</f>
        <v/>
      </c>
      <c r="Y149" s="54" t="str">
        <f>IF(X149="","",IF(OR(U149&gt;=p_gmin,X149&gt;=p_ipr_crit),"Critique",IF(X149&gt;=p_ipr_act,"Élevée",IF(X149&gt;=p_ipr_watch,"Moyenne","Faible"))))</f>
        <v/>
      </c>
      <c r="Z149" s="57" t="str">
        <f>IF(X149="","",(L149-X149)/L149)</f>
        <v/>
      </c>
      <c r="AA149" s="54" t="str">
        <f>IF(AND(D149="",O149=""),"",IF(O149="",IF(N149="Oui","Action à définir",IF(N149="Non","Sans action","")),IF(R149="Annulée","Annulée",IF(R149="Réalisée",IF(X149="","À réévaluer","Réalisée"),IF(N(Q149)=0,"Échéance manquante",IF(Q149&lt;p_today,"En retard",IF(Q149-p_today&lt;=p_alert,"Échéance proche","Dans les délais")))))))</f>
        <v/>
      </c>
      <c r="AB149" s="58" t="str">
        <f>IF(AND(A149="",B149="",D149="",F149="",H149="",K149="",O149=""),"",IF(D149="","Mode de défaillance manquant",IF(AND(A149&lt;&gt;"",COUNTIF(am_num,A149)&gt;1),"N° en double",IF(F149="","Gravité G manquante",IF(NOT(IF(ISNUMBER(F149),AND(F149&gt;=1,F149&lt;=10,F149=INT(F149)),FALSE)),"G : entier de 1 à 10",IF(H149="","Occurrence O manquante",IF(NOT(IF(ISNUMBER(H149),AND(H149&gt;=1,H149&lt;=10,H149=INT(H149)),FALSE)),"O : entier de 1 à 10",IF(K149="","Détection D manquante",IF(NOT(IF(ISNUMBER(K149),AND(K149&gt;=1,K149&lt;=10,K149=INT(K149)),FALSE)),"D : entier de 1 à 10",IF(G149="","Cause manquante",IF(AND(O149&lt;&gt;"",P149=""),"Responsable manquant",IF(AND(R149&lt;&gt;"",O149=""),"Statut sans action",IF(AND(R149="Réalisée",N(S149)=0),"Date de réalisation manquante",IF(AND(T149&lt;&gt;"",IF(ISNUMBER(T149),T149&lt;0,TRUE)),"Coût invalide",IF(AND(COUNTBLANK(U149:W149)&gt;0,COUNTBLANK(U149:W149)&lt;3),"Cotation après action incomplète",IF(AND(COUNTBLANK(U149:W149)=0,X149=""),"G', O', D' : entiers de 1 à 10",IF(AND(X149&lt;&gt;"",X149&gt;L149),"IPR après action plus élevé","OK")))))))))))))))))</f>
        <v/>
      </c>
      <c r="AC149" s="59" t="str">
        <f>IF(OR(AA149="En retard",AA149="Échéance proche",AA149="Dans les délais",AA149="Échéance manquante",AA149="Action à définir",AA149="À réévaluer"),IF(OR(plan_who="",P149=plan_who),IF(N(Q149)&gt;0,Q149,99999)*1000+ROW(),""),"")</f>
        <v/>
      </c>
      <c r="AD149" s="59" t="str">
        <f>IF(L149="","",L149*1000+1000-ROW())</f>
        <v/>
      </c>
      <c r="AE149" s="59" t="str">
        <f>IF(IF(AA149="En retard",1,IF(AA149="Action à définir",2,IF(AA149="Échéance manquante",3,IF(AA149="Échéance proche",4,IF(AA149="À réévaluer",5,0)))))=0,"",IF(AA149="En retard",1,IF(AA149="Action à définir",2,IF(AA149="Échéance manquante",3,IF(AA149="Échéance proche",4,IF(AA149="À réévaluer",5,0)))))*100000000+IF(N(Q149)&gt;0,Q149,99999)*1000+ROW())</f>
        <v/>
      </c>
      <c r="AF149" s="59" t="str">
        <f>IF(X149&lt;&gt;"",X149,L149)</f>
        <v/>
      </c>
      <c r="AG149" s="59" t="str">
        <f>IF(X149&lt;&gt;"",Y149,IF(L149&lt;&gt;"",M149,""))</f>
        <v/>
      </c>
      <c r="AH149" s="59" t="str">
        <f>IF(L149="","",IF(X149&lt;&gt;"",U149,F149))</f>
        <v/>
      </c>
      <c r="AI149" s="59" t="str">
        <f>IF(L149="","",IF(X149&lt;&gt;"",V149,H149))</f>
        <v/>
      </c>
    </row>
    <row r="150" ht="30" customHeight="1">
      <c r="A150" s="50" t="n"/>
      <c r="B150" s="51" t="n"/>
      <c r="C150" s="51" t="n"/>
      <c r="D150" s="51" t="n"/>
      <c r="E150" s="51" t="n"/>
      <c r="F150" s="52" t="n"/>
      <c r="G150" s="51" t="n"/>
      <c r="H150" s="52" t="n"/>
      <c r="I150" s="51" t="n"/>
      <c r="J150" s="51" t="n"/>
      <c r="K150" s="52" t="n"/>
      <c r="L150" s="53" t="str">
        <f>IF(AND(IF(ISNUMBER(F150),AND(F150&gt;=1,F150&lt;=10,F150=INT(F150)),FALSE),IF(ISNUMBER(H150),AND(H150&gt;=1,H150&lt;=10,H150=INT(H150)),FALSE),IF(ISNUMBER(K150),AND(K150&gt;=1,K150&lt;=10,K150=INT(K150)),FALSE)),F150*H150*K150,"")</f>
        <v/>
      </c>
      <c r="M150" s="54" t="str">
        <f>IF(L150="",IF(D150="","","À coter"),IF(OR(F150&gt;=p_gmin,L150&gt;=p_ipr_crit),"Critique",IF(L150&gt;=p_ipr_act,"Élevée",IF(L150&gt;=p_ipr_watch,"Moyenne","Faible"))))</f>
        <v/>
      </c>
      <c r="N150" s="54" t="str">
        <f>IF(OR(M150="",M150="À coter"),"",IF(OR(M150="Critique",M150="Élevée"),"Oui","Non"))</f>
        <v/>
      </c>
      <c r="O150" s="51" t="n"/>
      <c r="P150" s="51" t="n"/>
      <c r="Q150" s="55" t="n"/>
      <c r="R150" s="50" t="n"/>
      <c r="S150" s="55" t="n"/>
      <c r="T150" s="56" t="n"/>
      <c r="U150" s="52" t="n"/>
      <c r="V150" s="52" t="n"/>
      <c r="W150" s="52" t="n"/>
      <c r="X150" s="53" t="str">
        <f>IF(AND(L150&lt;&gt;"",IF(ISNUMBER(U150),AND(U150&gt;=1,U150&lt;=10,U150=INT(U150)),FALSE),IF(ISNUMBER(V150),AND(V150&gt;=1,V150&lt;=10,V150=INT(V150)),FALSE),IF(ISNUMBER(W150),AND(W150&gt;=1,W150&lt;=10,W150=INT(W150)),FALSE)),U150*V150*W150,"")</f>
        <v/>
      </c>
      <c r="Y150" s="54" t="str">
        <f>IF(X150="","",IF(OR(U150&gt;=p_gmin,X150&gt;=p_ipr_crit),"Critique",IF(X150&gt;=p_ipr_act,"Élevée",IF(X150&gt;=p_ipr_watch,"Moyenne","Faible"))))</f>
        <v/>
      </c>
      <c r="Z150" s="57" t="str">
        <f>IF(X150="","",(L150-X150)/L150)</f>
        <v/>
      </c>
      <c r="AA150" s="54" t="str">
        <f>IF(AND(D150="",O150=""),"",IF(O150="",IF(N150="Oui","Action à définir",IF(N150="Non","Sans action","")),IF(R150="Annulée","Annulée",IF(R150="Réalisée",IF(X150="","À réévaluer","Réalisée"),IF(N(Q150)=0,"Échéance manquante",IF(Q150&lt;p_today,"En retard",IF(Q150-p_today&lt;=p_alert,"Échéance proche","Dans les délais")))))))</f>
        <v/>
      </c>
      <c r="AB150" s="58" t="str">
        <f>IF(AND(A150="",B150="",D150="",F150="",H150="",K150="",O150=""),"",IF(D150="","Mode de défaillance manquant",IF(AND(A150&lt;&gt;"",COUNTIF(am_num,A150)&gt;1),"N° en double",IF(F150="","Gravité G manquante",IF(NOT(IF(ISNUMBER(F150),AND(F150&gt;=1,F150&lt;=10,F150=INT(F150)),FALSE)),"G : entier de 1 à 10",IF(H150="","Occurrence O manquante",IF(NOT(IF(ISNUMBER(H150),AND(H150&gt;=1,H150&lt;=10,H150=INT(H150)),FALSE)),"O : entier de 1 à 10",IF(K150="","Détection D manquante",IF(NOT(IF(ISNUMBER(K150),AND(K150&gt;=1,K150&lt;=10,K150=INT(K150)),FALSE)),"D : entier de 1 à 10",IF(G150="","Cause manquante",IF(AND(O150&lt;&gt;"",P150=""),"Responsable manquant",IF(AND(R150&lt;&gt;"",O150=""),"Statut sans action",IF(AND(R150="Réalisée",N(S150)=0),"Date de réalisation manquante",IF(AND(T150&lt;&gt;"",IF(ISNUMBER(T150),T150&lt;0,TRUE)),"Coût invalide",IF(AND(COUNTBLANK(U150:W150)&gt;0,COUNTBLANK(U150:W150)&lt;3),"Cotation après action incomplète",IF(AND(COUNTBLANK(U150:W150)=0,X150=""),"G', O', D' : entiers de 1 à 10",IF(AND(X150&lt;&gt;"",X150&gt;L150),"IPR après action plus élevé","OK")))))))))))))))))</f>
        <v/>
      </c>
      <c r="AC150" s="59" t="str">
        <f>IF(OR(AA150="En retard",AA150="Échéance proche",AA150="Dans les délais",AA150="Échéance manquante",AA150="Action à définir",AA150="À réévaluer"),IF(OR(plan_who="",P150=plan_who),IF(N(Q150)&gt;0,Q150,99999)*1000+ROW(),""),"")</f>
        <v/>
      </c>
      <c r="AD150" s="59" t="str">
        <f>IF(L150="","",L150*1000+1000-ROW())</f>
        <v/>
      </c>
      <c r="AE150" s="59" t="str">
        <f>IF(IF(AA150="En retard",1,IF(AA150="Action à définir",2,IF(AA150="Échéance manquante",3,IF(AA150="Échéance proche",4,IF(AA150="À réévaluer",5,0)))))=0,"",IF(AA150="En retard",1,IF(AA150="Action à définir",2,IF(AA150="Échéance manquante",3,IF(AA150="Échéance proche",4,IF(AA150="À réévaluer",5,0)))))*100000000+IF(N(Q150)&gt;0,Q150,99999)*1000+ROW())</f>
        <v/>
      </c>
      <c r="AF150" s="59" t="str">
        <f>IF(X150&lt;&gt;"",X150,L150)</f>
        <v/>
      </c>
      <c r="AG150" s="59" t="str">
        <f>IF(X150&lt;&gt;"",Y150,IF(L150&lt;&gt;"",M150,""))</f>
        <v/>
      </c>
      <c r="AH150" s="59" t="str">
        <f>IF(L150="","",IF(X150&lt;&gt;"",U150,F150))</f>
        <v/>
      </c>
      <c r="AI150" s="59" t="str">
        <f>IF(L150="","",IF(X150&lt;&gt;"",V150,H150))</f>
        <v/>
      </c>
    </row>
    <row r="151" ht="30" customHeight="1">
      <c r="A151" s="50" t="n"/>
      <c r="B151" s="51" t="n"/>
      <c r="C151" s="51" t="n"/>
      <c r="D151" s="51" t="n"/>
      <c r="E151" s="51" t="n"/>
      <c r="F151" s="52" t="n"/>
      <c r="G151" s="51" t="n"/>
      <c r="H151" s="52" t="n"/>
      <c r="I151" s="51" t="n"/>
      <c r="J151" s="51" t="n"/>
      <c r="K151" s="52" t="n"/>
      <c r="L151" s="53" t="str">
        <f>IF(AND(IF(ISNUMBER(F151),AND(F151&gt;=1,F151&lt;=10,F151=INT(F151)),FALSE),IF(ISNUMBER(H151),AND(H151&gt;=1,H151&lt;=10,H151=INT(H151)),FALSE),IF(ISNUMBER(K151),AND(K151&gt;=1,K151&lt;=10,K151=INT(K151)),FALSE)),F151*H151*K151,"")</f>
        <v/>
      </c>
      <c r="M151" s="54" t="str">
        <f>IF(L151="",IF(D151="","","À coter"),IF(OR(F151&gt;=p_gmin,L151&gt;=p_ipr_crit),"Critique",IF(L151&gt;=p_ipr_act,"Élevée",IF(L151&gt;=p_ipr_watch,"Moyenne","Faible"))))</f>
        <v/>
      </c>
      <c r="N151" s="54" t="str">
        <f>IF(OR(M151="",M151="À coter"),"",IF(OR(M151="Critique",M151="Élevée"),"Oui","Non"))</f>
        <v/>
      </c>
      <c r="O151" s="51" t="n"/>
      <c r="P151" s="51" t="n"/>
      <c r="Q151" s="55" t="n"/>
      <c r="R151" s="50" t="n"/>
      <c r="S151" s="55" t="n"/>
      <c r="T151" s="56" t="n"/>
      <c r="U151" s="52" t="n"/>
      <c r="V151" s="52" t="n"/>
      <c r="W151" s="52" t="n"/>
      <c r="X151" s="53" t="str">
        <f>IF(AND(L151&lt;&gt;"",IF(ISNUMBER(U151),AND(U151&gt;=1,U151&lt;=10,U151=INT(U151)),FALSE),IF(ISNUMBER(V151),AND(V151&gt;=1,V151&lt;=10,V151=INT(V151)),FALSE),IF(ISNUMBER(W151),AND(W151&gt;=1,W151&lt;=10,W151=INT(W151)),FALSE)),U151*V151*W151,"")</f>
        <v/>
      </c>
      <c r="Y151" s="54" t="str">
        <f>IF(X151="","",IF(OR(U151&gt;=p_gmin,X151&gt;=p_ipr_crit),"Critique",IF(X151&gt;=p_ipr_act,"Élevée",IF(X151&gt;=p_ipr_watch,"Moyenne","Faible"))))</f>
        <v/>
      </c>
      <c r="Z151" s="57" t="str">
        <f>IF(X151="","",(L151-X151)/L151)</f>
        <v/>
      </c>
      <c r="AA151" s="54" t="str">
        <f>IF(AND(D151="",O151=""),"",IF(O151="",IF(N151="Oui","Action à définir",IF(N151="Non","Sans action","")),IF(R151="Annulée","Annulée",IF(R151="Réalisée",IF(X151="","À réévaluer","Réalisée"),IF(N(Q151)=0,"Échéance manquante",IF(Q151&lt;p_today,"En retard",IF(Q151-p_today&lt;=p_alert,"Échéance proche","Dans les délais")))))))</f>
        <v/>
      </c>
      <c r="AB151" s="58" t="str">
        <f>IF(AND(A151="",B151="",D151="",F151="",H151="",K151="",O151=""),"",IF(D151="","Mode de défaillance manquant",IF(AND(A151&lt;&gt;"",COUNTIF(am_num,A151)&gt;1),"N° en double",IF(F151="","Gravité G manquante",IF(NOT(IF(ISNUMBER(F151),AND(F151&gt;=1,F151&lt;=10,F151=INT(F151)),FALSE)),"G : entier de 1 à 10",IF(H151="","Occurrence O manquante",IF(NOT(IF(ISNUMBER(H151),AND(H151&gt;=1,H151&lt;=10,H151=INT(H151)),FALSE)),"O : entier de 1 à 10",IF(K151="","Détection D manquante",IF(NOT(IF(ISNUMBER(K151),AND(K151&gt;=1,K151&lt;=10,K151=INT(K151)),FALSE)),"D : entier de 1 à 10",IF(G151="","Cause manquante",IF(AND(O151&lt;&gt;"",P151=""),"Responsable manquant",IF(AND(R151&lt;&gt;"",O151=""),"Statut sans action",IF(AND(R151="Réalisée",N(S151)=0),"Date de réalisation manquante",IF(AND(T151&lt;&gt;"",IF(ISNUMBER(T151),T151&lt;0,TRUE)),"Coût invalide",IF(AND(COUNTBLANK(U151:W151)&gt;0,COUNTBLANK(U151:W151)&lt;3),"Cotation après action incomplète",IF(AND(COUNTBLANK(U151:W151)=0,X151=""),"G', O', D' : entiers de 1 à 10",IF(AND(X151&lt;&gt;"",X151&gt;L151),"IPR après action plus élevé","OK")))))))))))))))))</f>
        <v/>
      </c>
      <c r="AC151" s="59" t="str">
        <f>IF(OR(AA151="En retard",AA151="Échéance proche",AA151="Dans les délais",AA151="Échéance manquante",AA151="Action à définir",AA151="À réévaluer"),IF(OR(plan_who="",P151=plan_who),IF(N(Q151)&gt;0,Q151,99999)*1000+ROW(),""),"")</f>
        <v/>
      </c>
      <c r="AD151" s="59" t="str">
        <f>IF(L151="","",L151*1000+1000-ROW())</f>
        <v/>
      </c>
      <c r="AE151" s="59" t="str">
        <f>IF(IF(AA151="En retard",1,IF(AA151="Action à définir",2,IF(AA151="Échéance manquante",3,IF(AA151="Échéance proche",4,IF(AA151="À réévaluer",5,0)))))=0,"",IF(AA151="En retard",1,IF(AA151="Action à définir",2,IF(AA151="Échéance manquante",3,IF(AA151="Échéance proche",4,IF(AA151="À réévaluer",5,0)))))*100000000+IF(N(Q151)&gt;0,Q151,99999)*1000+ROW())</f>
        <v/>
      </c>
      <c r="AF151" s="59" t="str">
        <f>IF(X151&lt;&gt;"",X151,L151)</f>
        <v/>
      </c>
      <c r="AG151" s="59" t="str">
        <f>IF(X151&lt;&gt;"",Y151,IF(L151&lt;&gt;"",M151,""))</f>
        <v/>
      </c>
      <c r="AH151" s="59" t="str">
        <f>IF(L151="","",IF(X151&lt;&gt;"",U151,F151))</f>
        <v/>
      </c>
      <c r="AI151" s="59" t="str">
        <f>IF(L151="","",IF(X151&lt;&gt;"",V151,H151))</f>
        <v/>
      </c>
    </row>
    <row r="152" ht="30" customHeight="1">
      <c r="A152" s="50" t="n"/>
      <c r="B152" s="51" t="n"/>
      <c r="C152" s="51" t="n"/>
      <c r="D152" s="51" t="n"/>
      <c r="E152" s="51" t="n"/>
      <c r="F152" s="52" t="n"/>
      <c r="G152" s="51" t="n"/>
      <c r="H152" s="52" t="n"/>
      <c r="I152" s="51" t="n"/>
      <c r="J152" s="51" t="n"/>
      <c r="K152" s="52" t="n"/>
      <c r="L152" s="53" t="str">
        <f>IF(AND(IF(ISNUMBER(F152),AND(F152&gt;=1,F152&lt;=10,F152=INT(F152)),FALSE),IF(ISNUMBER(H152),AND(H152&gt;=1,H152&lt;=10,H152=INT(H152)),FALSE),IF(ISNUMBER(K152),AND(K152&gt;=1,K152&lt;=10,K152=INT(K152)),FALSE)),F152*H152*K152,"")</f>
        <v/>
      </c>
      <c r="M152" s="54" t="str">
        <f>IF(L152="",IF(D152="","","À coter"),IF(OR(F152&gt;=p_gmin,L152&gt;=p_ipr_crit),"Critique",IF(L152&gt;=p_ipr_act,"Élevée",IF(L152&gt;=p_ipr_watch,"Moyenne","Faible"))))</f>
        <v/>
      </c>
      <c r="N152" s="54" t="str">
        <f>IF(OR(M152="",M152="À coter"),"",IF(OR(M152="Critique",M152="Élevée"),"Oui","Non"))</f>
        <v/>
      </c>
      <c r="O152" s="51" t="n"/>
      <c r="P152" s="51" t="n"/>
      <c r="Q152" s="55" t="n"/>
      <c r="R152" s="50" t="n"/>
      <c r="S152" s="55" t="n"/>
      <c r="T152" s="56" t="n"/>
      <c r="U152" s="52" t="n"/>
      <c r="V152" s="52" t="n"/>
      <c r="W152" s="52" t="n"/>
      <c r="X152" s="53" t="str">
        <f>IF(AND(L152&lt;&gt;"",IF(ISNUMBER(U152),AND(U152&gt;=1,U152&lt;=10,U152=INT(U152)),FALSE),IF(ISNUMBER(V152),AND(V152&gt;=1,V152&lt;=10,V152=INT(V152)),FALSE),IF(ISNUMBER(W152),AND(W152&gt;=1,W152&lt;=10,W152=INT(W152)),FALSE)),U152*V152*W152,"")</f>
        <v/>
      </c>
      <c r="Y152" s="54" t="str">
        <f>IF(X152="","",IF(OR(U152&gt;=p_gmin,X152&gt;=p_ipr_crit),"Critique",IF(X152&gt;=p_ipr_act,"Élevée",IF(X152&gt;=p_ipr_watch,"Moyenne","Faible"))))</f>
        <v/>
      </c>
      <c r="Z152" s="57" t="str">
        <f>IF(X152="","",(L152-X152)/L152)</f>
        <v/>
      </c>
      <c r="AA152" s="54" t="str">
        <f>IF(AND(D152="",O152=""),"",IF(O152="",IF(N152="Oui","Action à définir",IF(N152="Non","Sans action","")),IF(R152="Annulée","Annulée",IF(R152="Réalisée",IF(X152="","À réévaluer","Réalisée"),IF(N(Q152)=0,"Échéance manquante",IF(Q152&lt;p_today,"En retard",IF(Q152-p_today&lt;=p_alert,"Échéance proche","Dans les délais")))))))</f>
        <v/>
      </c>
      <c r="AB152" s="58" t="str">
        <f>IF(AND(A152="",B152="",D152="",F152="",H152="",K152="",O152=""),"",IF(D152="","Mode de défaillance manquant",IF(AND(A152&lt;&gt;"",COUNTIF(am_num,A152)&gt;1),"N° en double",IF(F152="","Gravité G manquante",IF(NOT(IF(ISNUMBER(F152),AND(F152&gt;=1,F152&lt;=10,F152=INT(F152)),FALSE)),"G : entier de 1 à 10",IF(H152="","Occurrence O manquante",IF(NOT(IF(ISNUMBER(H152),AND(H152&gt;=1,H152&lt;=10,H152=INT(H152)),FALSE)),"O : entier de 1 à 10",IF(K152="","Détection D manquante",IF(NOT(IF(ISNUMBER(K152),AND(K152&gt;=1,K152&lt;=10,K152=INT(K152)),FALSE)),"D : entier de 1 à 10",IF(G152="","Cause manquante",IF(AND(O152&lt;&gt;"",P152=""),"Responsable manquant",IF(AND(R152&lt;&gt;"",O152=""),"Statut sans action",IF(AND(R152="Réalisée",N(S152)=0),"Date de réalisation manquante",IF(AND(T152&lt;&gt;"",IF(ISNUMBER(T152),T152&lt;0,TRUE)),"Coût invalide",IF(AND(COUNTBLANK(U152:W152)&gt;0,COUNTBLANK(U152:W152)&lt;3),"Cotation après action incomplète",IF(AND(COUNTBLANK(U152:W152)=0,X152=""),"G', O', D' : entiers de 1 à 10",IF(AND(X152&lt;&gt;"",X152&gt;L152),"IPR après action plus élevé","OK")))))))))))))))))</f>
        <v/>
      </c>
      <c r="AC152" s="59" t="str">
        <f>IF(OR(AA152="En retard",AA152="Échéance proche",AA152="Dans les délais",AA152="Échéance manquante",AA152="Action à définir",AA152="À réévaluer"),IF(OR(plan_who="",P152=plan_who),IF(N(Q152)&gt;0,Q152,99999)*1000+ROW(),""),"")</f>
        <v/>
      </c>
      <c r="AD152" s="59" t="str">
        <f>IF(L152="","",L152*1000+1000-ROW())</f>
        <v/>
      </c>
      <c r="AE152" s="59" t="str">
        <f>IF(IF(AA152="En retard",1,IF(AA152="Action à définir",2,IF(AA152="Échéance manquante",3,IF(AA152="Échéance proche",4,IF(AA152="À réévaluer",5,0)))))=0,"",IF(AA152="En retard",1,IF(AA152="Action à définir",2,IF(AA152="Échéance manquante",3,IF(AA152="Échéance proche",4,IF(AA152="À réévaluer",5,0)))))*100000000+IF(N(Q152)&gt;0,Q152,99999)*1000+ROW())</f>
        <v/>
      </c>
      <c r="AF152" s="59" t="str">
        <f>IF(X152&lt;&gt;"",X152,L152)</f>
        <v/>
      </c>
      <c r="AG152" s="59" t="str">
        <f>IF(X152&lt;&gt;"",Y152,IF(L152&lt;&gt;"",M152,""))</f>
        <v/>
      </c>
      <c r="AH152" s="59" t="str">
        <f>IF(L152="","",IF(X152&lt;&gt;"",U152,F152))</f>
        <v/>
      </c>
      <c r="AI152" s="59" t="str">
        <f>IF(L152="","",IF(X152&lt;&gt;"",V152,H152))</f>
        <v/>
      </c>
    </row>
    <row r="153" ht="30" customHeight="1">
      <c r="A153" s="50" t="n"/>
      <c r="B153" s="51" t="n"/>
      <c r="C153" s="51" t="n"/>
      <c r="D153" s="51" t="n"/>
      <c r="E153" s="51" t="n"/>
      <c r="F153" s="52" t="n"/>
      <c r="G153" s="51" t="n"/>
      <c r="H153" s="52" t="n"/>
      <c r="I153" s="51" t="n"/>
      <c r="J153" s="51" t="n"/>
      <c r="K153" s="52" t="n"/>
      <c r="L153" s="53" t="str">
        <f>IF(AND(IF(ISNUMBER(F153),AND(F153&gt;=1,F153&lt;=10,F153=INT(F153)),FALSE),IF(ISNUMBER(H153),AND(H153&gt;=1,H153&lt;=10,H153=INT(H153)),FALSE),IF(ISNUMBER(K153),AND(K153&gt;=1,K153&lt;=10,K153=INT(K153)),FALSE)),F153*H153*K153,"")</f>
        <v/>
      </c>
      <c r="M153" s="54" t="str">
        <f>IF(L153="",IF(D153="","","À coter"),IF(OR(F153&gt;=p_gmin,L153&gt;=p_ipr_crit),"Critique",IF(L153&gt;=p_ipr_act,"Élevée",IF(L153&gt;=p_ipr_watch,"Moyenne","Faible"))))</f>
        <v/>
      </c>
      <c r="N153" s="54" t="str">
        <f>IF(OR(M153="",M153="À coter"),"",IF(OR(M153="Critique",M153="Élevée"),"Oui","Non"))</f>
        <v/>
      </c>
      <c r="O153" s="51" t="n"/>
      <c r="P153" s="51" t="n"/>
      <c r="Q153" s="55" t="n"/>
      <c r="R153" s="50" t="n"/>
      <c r="S153" s="55" t="n"/>
      <c r="T153" s="56" t="n"/>
      <c r="U153" s="52" t="n"/>
      <c r="V153" s="52" t="n"/>
      <c r="W153" s="52" t="n"/>
      <c r="X153" s="53" t="str">
        <f>IF(AND(L153&lt;&gt;"",IF(ISNUMBER(U153),AND(U153&gt;=1,U153&lt;=10,U153=INT(U153)),FALSE),IF(ISNUMBER(V153),AND(V153&gt;=1,V153&lt;=10,V153=INT(V153)),FALSE),IF(ISNUMBER(W153),AND(W153&gt;=1,W153&lt;=10,W153=INT(W153)),FALSE)),U153*V153*W153,"")</f>
        <v/>
      </c>
      <c r="Y153" s="54" t="str">
        <f>IF(X153="","",IF(OR(U153&gt;=p_gmin,X153&gt;=p_ipr_crit),"Critique",IF(X153&gt;=p_ipr_act,"Élevée",IF(X153&gt;=p_ipr_watch,"Moyenne","Faible"))))</f>
        <v/>
      </c>
      <c r="Z153" s="57" t="str">
        <f>IF(X153="","",(L153-X153)/L153)</f>
        <v/>
      </c>
      <c r="AA153" s="54" t="str">
        <f>IF(AND(D153="",O153=""),"",IF(O153="",IF(N153="Oui","Action à définir",IF(N153="Non","Sans action","")),IF(R153="Annulée","Annulée",IF(R153="Réalisée",IF(X153="","À réévaluer","Réalisée"),IF(N(Q153)=0,"Échéance manquante",IF(Q153&lt;p_today,"En retard",IF(Q153-p_today&lt;=p_alert,"Échéance proche","Dans les délais")))))))</f>
        <v/>
      </c>
      <c r="AB153" s="58" t="str">
        <f>IF(AND(A153="",B153="",D153="",F153="",H153="",K153="",O153=""),"",IF(D153="","Mode de défaillance manquant",IF(AND(A153&lt;&gt;"",COUNTIF(am_num,A153)&gt;1),"N° en double",IF(F153="","Gravité G manquante",IF(NOT(IF(ISNUMBER(F153),AND(F153&gt;=1,F153&lt;=10,F153=INT(F153)),FALSE)),"G : entier de 1 à 10",IF(H153="","Occurrence O manquante",IF(NOT(IF(ISNUMBER(H153),AND(H153&gt;=1,H153&lt;=10,H153=INT(H153)),FALSE)),"O : entier de 1 à 10",IF(K153="","Détection D manquante",IF(NOT(IF(ISNUMBER(K153),AND(K153&gt;=1,K153&lt;=10,K153=INT(K153)),FALSE)),"D : entier de 1 à 10",IF(G153="","Cause manquante",IF(AND(O153&lt;&gt;"",P153=""),"Responsable manquant",IF(AND(R153&lt;&gt;"",O153=""),"Statut sans action",IF(AND(R153="Réalisée",N(S153)=0),"Date de réalisation manquante",IF(AND(T153&lt;&gt;"",IF(ISNUMBER(T153),T153&lt;0,TRUE)),"Coût invalide",IF(AND(COUNTBLANK(U153:W153)&gt;0,COUNTBLANK(U153:W153)&lt;3),"Cotation après action incomplète",IF(AND(COUNTBLANK(U153:W153)=0,X153=""),"G', O', D' : entiers de 1 à 10",IF(AND(X153&lt;&gt;"",X153&gt;L153),"IPR après action plus élevé","OK")))))))))))))))))</f>
        <v/>
      </c>
      <c r="AC153" s="59" t="str">
        <f>IF(OR(AA153="En retard",AA153="Échéance proche",AA153="Dans les délais",AA153="Échéance manquante",AA153="Action à définir",AA153="À réévaluer"),IF(OR(plan_who="",P153=plan_who),IF(N(Q153)&gt;0,Q153,99999)*1000+ROW(),""),"")</f>
        <v/>
      </c>
      <c r="AD153" s="59" t="str">
        <f>IF(L153="","",L153*1000+1000-ROW())</f>
        <v/>
      </c>
      <c r="AE153" s="59" t="str">
        <f>IF(IF(AA153="En retard",1,IF(AA153="Action à définir",2,IF(AA153="Échéance manquante",3,IF(AA153="Échéance proche",4,IF(AA153="À réévaluer",5,0)))))=0,"",IF(AA153="En retard",1,IF(AA153="Action à définir",2,IF(AA153="Échéance manquante",3,IF(AA153="Échéance proche",4,IF(AA153="À réévaluer",5,0)))))*100000000+IF(N(Q153)&gt;0,Q153,99999)*1000+ROW())</f>
        <v/>
      </c>
      <c r="AF153" s="59" t="str">
        <f>IF(X153&lt;&gt;"",X153,L153)</f>
        <v/>
      </c>
      <c r="AG153" s="59" t="str">
        <f>IF(X153&lt;&gt;"",Y153,IF(L153&lt;&gt;"",M153,""))</f>
        <v/>
      </c>
      <c r="AH153" s="59" t="str">
        <f>IF(L153="","",IF(X153&lt;&gt;"",U153,F153))</f>
        <v/>
      </c>
      <c r="AI153" s="59" t="str">
        <f>IF(L153="","",IF(X153&lt;&gt;"",V153,H153))</f>
        <v/>
      </c>
    </row>
    <row r="154" ht="30" customHeight="1">
      <c r="A154" s="50" t="n"/>
      <c r="B154" s="51" t="n"/>
      <c r="C154" s="51" t="n"/>
      <c r="D154" s="51" t="n"/>
      <c r="E154" s="51" t="n"/>
      <c r="F154" s="52" t="n"/>
      <c r="G154" s="51" t="n"/>
      <c r="H154" s="52" t="n"/>
      <c r="I154" s="51" t="n"/>
      <c r="J154" s="51" t="n"/>
      <c r="K154" s="52" t="n"/>
      <c r="L154" s="53" t="str">
        <f>IF(AND(IF(ISNUMBER(F154),AND(F154&gt;=1,F154&lt;=10,F154=INT(F154)),FALSE),IF(ISNUMBER(H154),AND(H154&gt;=1,H154&lt;=10,H154=INT(H154)),FALSE),IF(ISNUMBER(K154),AND(K154&gt;=1,K154&lt;=10,K154=INT(K154)),FALSE)),F154*H154*K154,"")</f>
        <v/>
      </c>
      <c r="M154" s="54" t="str">
        <f>IF(L154="",IF(D154="","","À coter"),IF(OR(F154&gt;=p_gmin,L154&gt;=p_ipr_crit),"Critique",IF(L154&gt;=p_ipr_act,"Élevée",IF(L154&gt;=p_ipr_watch,"Moyenne","Faible"))))</f>
        <v/>
      </c>
      <c r="N154" s="54" t="str">
        <f>IF(OR(M154="",M154="À coter"),"",IF(OR(M154="Critique",M154="Élevée"),"Oui","Non"))</f>
        <v/>
      </c>
      <c r="O154" s="51" t="n"/>
      <c r="P154" s="51" t="n"/>
      <c r="Q154" s="55" t="n"/>
      <c r="R154" s="50" t="n"/>
      <c r="S154" s="55" t="n"/>
      <c r="T154" s="56" t="n"/>
      <c r="U154" s="52" t="n"/>
      <c r="V154" s="52" t="n"/>
      <c r="W154" s="52" t="n"/>
      <c r="X154" s="53" t="str">
        <f>IF(AND(L154&lt;&gt;"",IF(ISNUMBER(U154),AND(U154&gt;=1,U154&lt;=10,U154=INT(U154)),FALSE),IF(ISNUMBER(V154),AND(V154&gt;=1,V154&lt;=10,V154=INT(V154)),FALSE),IF(ISNUMBER(W154),AND(W154&gt;=1,W154&lt;=10,W154=INT(W154)),FALSE)),U154*V154*W154,"")</f>
        <v/>
      </c>
      <c r="Y154" s="54" t="str">
        <f>IF(X154="","",IF(OR(U154&gt;=p_gmin,X154&gt;=p_ipr_crit),"Critique",IF(X154&gt;=p_ipr_act,"Élevée",IF(X154&gt;=p_ipr_watch,"Moyenne","Faible"))))</f>
        <v/>
      </c>
      <c r="Z154" s="57" t="str">
        <f>IF(X154="","",(L154-X154)/L154)</f>
        <v/>
      </c>
      <c r="AA154" s="54" t="str">
        <f>IF(AND(D154="",O154=""),"",IF(O154="",IF(N154="Oui","Action à définir",IF(N154="Non","Sans action","")),IF(R154="Annulée","Annulée",IF(R154="Réalisée",IF(X154="","À réévaluer","Réalisée"),IF(N(Q154)=0,"Échéance manquante",IF(Q154&lt;p_today,"En retard",IF(Q154-p_today&lt;=p_alert,"Échéance proche","Dans les délais")))))))</f>
        <v/>
      </c>
      <c r="AB154" s="58" t="str">
        <f>IF(AND(A154="",B154="",D154="",F154="",H154="",K154="",O154=""),"",IF(D154="","Mode de défaillance manquant",IF(AND(A154&lt;&gt;"",COUNTIF(am_num,A154)&gt;1),"N° en double",IF(F154="","Gravité G manquante",IF(NOT(IF(ISNUMBER(F154),AND(F154&gt;=1,F154&lt;=10,F154=INT(F154)),FALSE)),"G : entier de 1 à 10",IF(H154="","Occurrence O manquante",IF(NOT(IF(ISNUMBER(H154),AND(H154&gt;=1,H154&lt;=10,H154=INT(H154)),FALSE)),"O : entier de 1 à 10",IF(K154="","Détection D manquante",IF(NOT(IF(ISNUMBER(K154),AND(K154&gt;=1,K154&lt;=10,K154=INT(K154)),FALSE)),"D : entier de 1 à 10",IF(G154="","Cause manquante",IF(AND(O154&lt;&gt;"",P154=""),"Responsable manquant",IF(AND(R154&lt;&gt;"",O154=""),"Statut sans action",IF(AND(R154="Réalisée",N(S154)=0),"Date de réalisation manquante",IF(AND(T154&lt;&gt;"",IF(ISNUMBER(T154),T154&lt;0,TRUE)),"Coût invalide",IF(AND(COUNTBLANK(U154:W154)&gt;0,COUNTBLANK(U154:W154)&lt;3),"Cotation après action incomplète",IF(AND(COUNTBLANK(U154:W154)=0,X154=""),"G', O', D' : entiers de 1 à 10",IF(AND(X154&lt;&gt;"",X154&gt;L154),"IPR après action plus élevé","OK")))))))))))))))))</f>
        <v/>
      </c>
      <c r="AC154" s="59" t="str">
        <f>IF(OR(AA154="En retard",AA154="Échéance proche",AA154="Dans les délais",AA154="Échéance manquante",AA154="Action à définir",AA154="À réévaluer"),IF(OR(plan_who="",P154=plan_who),IF(N(Q154)&gt;0,Q154,99999)*1000+ROW(),""),"")</f>
        <v/>
      </c>
      <c r="AD154" s="59" t="str">
        <f>IF(L154="","",L154*1000+1000-ROW())</f>
        <v/>
      </c>
      <c r="AE154" s="59" t="str">
        <f>IF(IF(AA154="En retard",1,IF(AA154="Action à définir",2,IF(AA154="Échéance manquante",3,IF(AA154="Échéance proche",4,IF(AA154="À réévaluer",5,0)))))=0,"",IF(AA154="En retard",1,IF(AA154="Action à définir",2,IF(AA154="Échéance manquante",3,IF(AA154="Échéance proche",4,IF(AA154="À réévaluer",5,0)))))*100000000+IF(N(Q154)&gt;0,Q154,99999)*1000+ROW())</f>
        <v/>
      </c>
      <c r="AF154" s="59" t="str">
        <f>IF(X154&lt;&gt;"",X154,L154)</f>
        <v/>
      </c>
      <c r="AG154" s="59" t="str">
        <f>IF(X154&lt;&gt;"",Y154,IF(L154&lt;&gt;"",M154,""))</f>
        <v/>
      </c>
      <c r="AH154" s="59" t="str">
        <f>IF(L154="","",IF(X154&lt;&gt;"",U154,F154))</f>
        <v/>
      </c>
      <c r="AI154" s="59" t="str">
        <f>IF(L154="","",IF(X154&lt;&gt;"",V154,H154))</f>
        <v/>
      </c>
    </row>
    <row r="155" ht="30" customHeight="1">
      <c r="A155" s="50" t="n"/>
      <c r="B155" s="51" t="n"/>
      <c r="C155" s="51" t="n"/>
      <c r="D155" s="51" t="n"/>
      <c r="E155" s="51" t="n"/>
      <c r="F155" s="52" t="n"/>
      <c r="G155" s="51" t="n"/>
      <c r="H155" s="52" t="n"/>
      <c r="I155" s="51" t="n"/>
      <c r="J155" s="51" t="n"/>
      <c r="K155" s="52" t="n"/>
      <c r="L155" s="53" t="str">
        <f>IF(AND(IF(ISNUMBER(F155),AND(F155&gt;=1,F155&lt;=10,F155=INT(F155)),FALSE),IF(ISNUMBER(H155),AND(H155&gt;=1,H155&lt;=10,H155=INT(H155)),FALSE),IF(ISNUMBER(K155),AND(K155&gt;=1,K155&lt;=10,K155=INT(K155)),FALSE)),F155*H155*K155,"")</f>
        <v/>
      </c>
      <c r="M155" s="54" t="str">
        <f>IF(L155="",IF(D155="","","À coter"),IF(OR(F155&gt;=p_gmin,L155&gt;=p_ipr_crit),"Critique",IF(L155&gt;=p_ipr_act,"Élevée",IF(L155&gt;=p_ipr_watch,"Moyenne","Faible"))))</f>
        <v/>
      </c>
      <c r="N155" s="54" t="str">
        <f>IF(OR(M155="",M155="À coter"),"",IF(OR(M155="Critique",M155="Élevée"),"Oui","Non"))</f>
        <v/>
      </c>
      <c r="O155" s="51" t="n"/>
      <c r="P155" s="51" t="n"/>
      <c r="Q155" s="55" t="n"/>
      <c r="R155" s="50" t="n"/>
      <c r="S155" s="55" t="n"/>
      <c r="T155" s="56" t="n"/>
      <c r="U155" s="52" t="n"/>
      <c r="V155" s="52" t="n"/>
      <c r="W155" s="52" t="n"/>
      <c r="X155" s="53" t="str">
        <f>IF(AND(L155&lt;&gt;"",IF(ISNUMBER(U155),AND(U155&gt;=1,U155&lt;=10,U155=INT(U155)),FALSE),IF(ISNUMBER(V155),AND(V155&gt;=1,V155&lt;=10,V155=INT(V155)),FALSE),IF(ISNUMBER(W155),AND(W155&gt;=1,W155&lt;=10,W155=INT(W155)),FALSE)),U155*V155*W155,"")</f>
        <v/>
      </c>
      <c r="Y155" s="54" t="str">
        <f>IF(X155="","",IF(OR(U155&gt;=p_gmin,X155&gt;=p_ipr_crit),"Critique",IF(X155&gt;=p_ipr_act,"Élevée",IF(X155&gt;=p_ipr_watch,"Moyenne","Faible"))))</f>
        <v/>
      </c>
      <c r="Z155" s="57" t="str">
        <f>IF(X155="","",(L155-X155)/L155)</f>
        <v/>
      </c>
      <c r="AA155" s="54" t="str">
        <f>IF(AND(D155="",O155=""),"",IF(O155="",IF(N155="Oui","Action à définir",IF(N155="Non","Sans action","")),IF(R155="Annulée","Annulée",IF(R155="Réalisée",IF(X155="","À réévaluer","Réalisée"),IF(N(Q155)=0,"Échéance manquante",IF(Q155&lt;p_today,"En retard",IF(Q155-p_today&lt;=p_alert,"Échéance proche","Dans les délais")))))))</f>
        <v/>
      </c>
      <c r="AB155" s="58" t="str">
        <f>IF(AND(A155="",B155="",D155="",F155="",H155="",K155="",O155=""),"",IF(D155="","Mode de défaillance manquant",IF(AND(A155&lt;&gt;"",COUNTIF(am_num,A155)&gt;1),"N° en double",IF(F155="","Gravité G manquante",IF(NOT(IF(ISNUMBER(F155),AND(F155&gt;=1,F155&lt;=10,F155=INT(F155)),FALSE)),"G : entier de 1 à 10",IF(H155="","Occurrence O manquante",IF(NOT(IF(ISNUMBER(H155),AND(H155&gt;=1,H155&lt;=10,H155=INT(H155)),FALSE)),"O : entier de 1 à 10",IF(K155="","Détection D manquante",IF(NOT(IF(ISNUMBER(K155),AND(K155&gt;=1,K155&lt;=10,K155=INT(K155)),FALSE)),"D : entier de 1 à 10",IF(G155="","Cause manquante",IF(AND(O155&lt;&gt;"",P155=""),"Responsable manquant",IF(AND(R155&lt;&gt;"",O155=""),"Statut sans action",IF(AND(R155="Réalisée",N(S155)=0),"Date de réalisation manquante",IF(AND(T155&lt;&gt;"",IF(ISNUMBER(T155),T155&lt;0,TRUE)),"Coût invalide",IF(AND(COUNTBLANK(U155:W155)&gt;0,COUNTBLANK(U155:W155)&lt;3),"Cotation après action incomplète",IF(AND(COUNTBLANK(U155:W155)=0,X155=""),"G', O', D' : entiers de 1 à 10",IF(AND(X155&lt;&gt;"",X155&gt;L155),"IPR après action plus élevé","OK")))))))))))))))))</f>
        <v/>
      </c>
      <c r="AC155" s="59" t="str">
        <f>IF(OR(AA155="En retard",AA155="Échéance proche",AA155="Dans les délais",AA155="Échéance manquante",AA155="Action à définir",AA155="À réévaluer"),IF(OR(plan_who="",P155=plan_who),IF(N(Q155)&gt;0,Q155,99999)*1000+ROW(),""),"")</f>
        <v/>
      </c>
      <c r="AD155" s="59" t="str">
        <f>IF(L155="","",L155*1000+1000-ROW())</f>
        <v/>
      </c>
      <c r="AE155" s="59" t="str">
        <f>IF(IF(AA155="En retard",1,IF(AA155="Action à définir",2,IF(AA155="Échéance manquante",3,IF(AA155="Échéance proche",4,IF(AA155="À réévaluer",5,0)))))=0,"",IF(AA155="En retard",1,IF(AA155="Action à définir",2,IF(AA155="Échéance manquante",3,IF(AA155="Échéance proche",4,IF(AA155="À réévaluer",5,0)))))*100000000+IF(N(Q155)&gt;0,Q155,99999)*1000+ROW())</f>
        <v/>
      </c>
      <c r="AF155" s="59" t="str">
        <f>IF(X155&lt;&gt;"",X155,L155)</f>
        <v/>
      </c>
      <c r="AG155" s="59" t="str">
        <f>IF(X155&lt;&gt;"",Y155,IF(L155&lt;&gt;"",M155,""))</f>
        <v/>
      </c>
      <c r="AH155" s="59" t="str">
        <f>IF(L155="","",IF(X155&lt;&gt;"",U155,F155))</f>
        <v/>
      </c>
      <c r="AI155" s="59" t="str">
        <f>IF(L155="","",IF(X155&lt;&gt;"",V155,H155))</f>
        <v/>
      </c>
    </row>
    <row r="156" ht="30" customHeight="1">
      <c r="A156" s="50" t="n"/>
      <c r="B156" s="51" t="n"/>
      <c r="C156" s="51" t="n"/>
      <c r="D156" s="51" t="n"/>
      <c r="E156" s="51" t="n"/>
      <c r="F156" s="52" t="n"/>
      <c r="G156" s="51" t="n"/>
      <c r="H156" s="52" t="n"/>
      <c r="I156" s="51" t="n"/>
      <c r="J156" s="51" t="n"/>
      <c r="K156" s="52" t="n"/>
      <c r="L156" s="53" t="str">
        <f>IF(AND(IF(ISNUMBER(F156),AND(F156&gt;=1,F156&lt;=10,F156=INT(F156)),FALSE),IF(ISNUMBER(H156),AND(H156&gt;=1,H156&lt;=10,H156=INT(H156)),FALSE),IF(ISNUMBER(K156),AND(K156&gt;=1,K156&lt;=10,K156=INT(K156)),FALSE)),F156*H156*K156,"")</f>
        <v/>
      </c>
      <c r="M156" s="54" t="str">
        <f>IF(L156="",IF(D156="","","À coter"),IF(OR(F156&gt;=p_gmin,L156&gt;=p_ipr_crit),"Critique",IF(L156&gt;=p_ipr_act,"Élevée",IF(L156&gt;=p_ipr_watch,"Moyenne","Faible"))))</f>
        <v/>
      </c>
      <c r="N156" s="54" t="str">
        <f>IF(OR(M156="",M156="À coter"),"",IF(OR(M156="Critique",M156="Élevée"),"Oui","Non"))</f>
        <v/>
      </c>
      <c r="O156" s="51" t="n"/>
      <c r="P156" s="51" t="n"/>
      <c r="Q156" s="55" t="n"/>
      <c r="R156" s="50" t="n"/>
      <c r="S156" s="55" t="n"/>
      <c r="T156" s="56" t="n"/>
      <c r="U156" s="52" t="n"/>
      <c r="V156" s="52" t="n"/>
      <c r="W156" s="52" t="n"/>
      <c r="X156" s="53" t="str">
        <f>IF(AND(L156&lt;&gt;"",IF(ISNUMBER(U156),AND(U156&gt;=1,U156&lt;=10,U156=INT(U156)),FALSE),IF(ISNUMBER(V156),AND(V156&gt;=1,V156&lt;=10,V156=INT(V156)),FALSE),IF(ISNUMBER(W156),AND(W156&gt;=1,W156&lt;=10,W156=INT(W156)),FALSE)),U156*V156*W156,"")</f>
        <v/>
      </c>
      <c r="Y156" s="54" t="str">
        <f>IF(X156="","",IF(OR(U156&gt;=p_gmin,X156&gt;=p_ipr_crit),"Critique",IF(X156&gt;=p_ipr_act,"Élevée",IF(X156&gt;=p_ipr_watch,"Moyenne","Faible"))))</f>
        <v/>
      </c>
      <c r="Z156" s="57" t="str">
        <f>IF(X156="","",(L156-X156)/L156)</f>
        <v/>
      </c>
      <c r="AA156" s="54" t="str">
        <f>IF(AND(D156="",O156=""),"",IF(O156="",IF(N156="Oui","Action à définir",IF(N156="Non","Sans action","")),IF(R156="Annulée","Annulée",IF(R156="Réalisée",IF(X156="","À réévaluer","Réalisée"),IF(N(Q156)=0,"Échéance manquante",IF(Q156&lt;p_today,"En retard",IF(Q156-p_today&lt;=p_alert,"Échéance proche","Dans les délais")))))))</f>
        <v/>
      </c>
      <c r="AB156" s="58" t="str">
        <f>IF(AND(A156="",B156="",D156="",F156="",H156="",K156="",O156=""),"",IF(D156="","Mode de défaillance manquant",IF(AND(A156&lt;&gt;"",COUNTIF(am_num,A156)&gt;1),"N° en double",IF(F156="","Gravité G manquante",IF(NOT(IF(ISNUMBER(F156),AND(F156&gt;=1,F156&lt;=10,F156=INT(F156)),FALSE)),"G : entier de 1 à 10",IF(H156="","Occurrence O manquante",IF(NOT(IF(ISNUMBER(H156),AND(H156&gt;=1,H156&lt;=10,H156=INT(H156)),FALSE)),"O : entier de 1 à 10",IF(K156="","Détection D manquante",IF(NOT(IF(ISNUMBER(K156),AND(K156&gt;=1,K156&lt;=10,K156=INT(K156)),FALSE)),"D : entier de 1 à 10",IF(G156="","Cause manquante",IF(AND(O156&lt;&gt;"",P156=""),"Responsable manquant",IF(AND(R156&lt;&gt;"",O156=""),"Statut sans action",IF(AND(R156="Réalisée",N(S156)=0),"Date de réalisation manquante",IF(AND(T156&lt;&gt;"",IF(ISNUMBER(T156),T156&lt;0,TRUE)),"Coût invalide",IF(AND(COUNTBLANK(U156:W156)&gt;0,COUNTBLANK(U156:W156)&lt;3),"Cotation après action incomplète",IF(AND(COUNTBLANK(U156:W156)=0,X156=""),"G', O', D' : entiers de 1 à 10",IF(AND(X156&lt;&gt;"",X156&gt;L156),"IPR après action plus élevé","OK")))))))))))))))))</f>
        <v/>
      </c>
      <c r="AC156" s="59" t="str">
        <f>IF(OR(AA156="En retard",AA156="Échéance proche",AA156="Dans les délais",AA156="Échéance manquante",AA156="Action à définir",AA156="À réévaluer"),IF(OR(plan_who="",P156=plan_who),IF(N(Q156)&gt;0,Q156,99999)*1000+ROW(),""),"")</f>
        <v/>
      </c>
      <c r="AD156" s="59" t="str">
        <f>IF(L156="","",L156*1000+1000-ROW())</f>
        <v/>
      </c>
      <c r="AE156" s="59" t="str">
        <f>IF(IF(AA156="En retard",1,IF(AA156="Action à définir",2,IF(AA156="Échéance manquante",3,IF(AA156="Échéance proche",4,IF(AA156="À réévaluer",5,0)))))=0,"",IF(AA156="En retard",1,IF(AA156="Action à définir",2,IF(AA156="Échéance manquante",3,IF(AA156="Échéance proche",4,IF(AA156="À réévaluer",5,0)))))*100000000+IF(N(Q156)&gt;0,Q156,99999)*1000+ROW())</f>
        <v/>
      </c>
      <c r="AF156" s="59" t="str">
        <f>IF(X156&lt;&gt;"",X156,L156)</f>
        <v/>
      </c>
      <c r="AG156" s="59" t="str">
        <f>IF(X156&lt;&gt;"",Y156,IF(L156&lt;&gt;"",M156,""))</f>
        <v/>
      </c>
      <c r="AH156" s="59" t="str">
        <f>IF(L156="","",IF(X156&lt;&gt;"",U156,F156))</f>
        <v/>
      </c>
      <c r="AI156" s="59" t="str">
        <f>IF(L156="","",IF(X156&lt;&gt;"",V156,H156))</f>
        <v/>
      </c>
    </row>
    <row r="157" ht="30" customHeight="1">
      <c r="A157" s="50" t="n"/>
      <c r="B157" s="51" t="n"/>
      <c r="C157" s="51" t="n"/>
      <c r="D157" s="51" t="n"/>
      <c r="E157" s="51" t="n"/>
      <c r="F157" s="52" t="n"/>
      <c r="G157" s="51" t="n"/>
      <c r="H157" s="52" t="n"/>
      <c r="I157" s="51" t="n"/>
      <c r="J157" s="51" t="n"/>
      <c r="K157" s="52" t="n"/>
      <c r="L157" s="53" t="str">
        <f>IF(AND(IF(ISNUMBER(F157),AND(F157&gt;=1,F157&lt;=10,F157=INT(F157)),FALSE),IF(ISNUMBER(H157),AND(H157&gt;=1,H157&lt;=10,H157=INT(H157)),FALSE),IF(ISNUMBER(K157),AND(K157&gt;=1,K157&lt;=10,K157=INT(K157)),FALSE)),F157*H157*K157,"")</f>
        <v/>
      </c>
      <c r="M157" s="54" t="str">
        <f>IF(L157="",IF(D157="","","À coter"),IF(OR(F157&gt;=p_gmin,L157&gt;=p_ipr_crit),"Critique",IF(L157&gt;=p_ipr_act,"Élevée",IF(L157&gt;=p_ipr_watch,"Moyenne","Faible"))))</f>
        <v/>
      </c>
      <c r="N157" s="54" t="str">
        <f>IF(OR(M157="",M157="À coter"),"",IF(OR(M157="Critique",M157="Élevée"),"Oui","Non"))</f>
        <v/>
      </c>
      <c r="O157" s="51" t="n"/>
      <c r="P157" s="51" t="n"/>
      <c r="Q157" s="55" t="n"/>
      <c r="R157" s="50" t="n"/>
      <c r="S157" s="55" t="n"/>
      <c r="T157" s="56" t="n"/>
      <c r="U157" s="52" t="n"/>
      <c r="V157" s="52" t="n"/>
      <c r="W157" s="52" t="n"/>
      <c r="X157" s="53" t="str">
        <f>IF(AND(L157&lt;&gt;"",IF(ISNUMBER(U157),AND(U157&gt;=1,U157&lt;=10,U157=INT(U157)),FALSE),IF(ISNUMBER(V157),AND(V157&gt;=1,V157&lt;=10,V157=INT(V157)),FALSE),IF(ISNUMBER(W157),AND(W157&gt;=1,W157&lt;=10,W157=INT(W157)),FALSE)),U157*V157*W157,"")</f>
        <v/>
      </c>
      <c r="Y157" s="54" t="str">
        <f>IF(X157="","",IF(OR(U157&gt;=p_gmin,X157&gt;=p_ipr_crit),"Critique",IF(X157&gt;=p_ipr_act,"Élevée",IF(X157&gt;=p_ipr_watch,"Moyenne","Faible"))))</f>
        <v/>
      </c>
      <c r="Z157" s="57" t="str">
        <f>IF(X157="","",(L157-X157)/L157)</f>
        <v/>
      </c>
      <c r="AA157" s="54" t="str">
        <f>IF(AND(D157="",O157=""),"",IF(O157="",IF(N157="Oui","Action à définir",IF(N157="Non","Sans action","")),IF(R157="Annulée","Annulée",IF(R157="Réalisée",IF(X157="","À réévaluer","Réalisée"),IF(N(Q157)=0,"Échéance manquante",IF(Q157&lt;p_today,"En retard",IF(Q157-p_today&lt;=p_alert,"Échéance proche","Dans les délais")))))))</f>
        <v/>
      </c>
      <c r="AB157" s="58" t="str">
        <f>IF(AND(A157="",B157="",D157="",F157="",H157="",K157="",O157=""),"",IF(D157="","Mode de défaillance manquant",IF(AND(A157&lt;&gt;"",COUNTIF(am_num,A157)&gt;1),"N° en double",IF(F157="","Gravité G manquante",IF(NOT(IF(ISNUMBER(F157),AND(F157&gt;=1,F157&lt;=10,F157=INT(F157)),FALSE)),"G : entier de 1 à 10",IF(H157="","Occurrence O manquante",IF(NOT(IF(ISNUMBER(H157),AND(H157&gt;=1,H157&lt;=10,H157=INT(H157)),FALSE)),"O : entier de 1 à 10",IF(K157="","Détection D manquante",IF(NOT(IF(ISNUMBER(K157),AND(K157&gt;=1,K157&lt;=10,K157=INT(K157)),FALSE)),"D : entier de 1 à 10",IF(G157="","Cause manquante",IF(AND(O157&lt;&gt;"",P157=""),"Responsable manquant",IF(AND(R157&lt;&gt;"",O157=""),"Statut sans action",IF(AND(R157="Réalisée",N(S157)=0),"Date de réalisation manquante",IF(AND(T157&lt;&gt;"",IF(ISNUMBER(T157),T157&lt;0,TRUE)),"Coût invalide",IF(AND(COUNTBLANK(U157:W157)&gt;0,COUNTBLANK(U157:W157)&lt;3),"Cotation après action incomplète",IF(AND(COUNTBLANK(U157:W157)=0,X157=""),"G', O', D' : entiers de 1 à 10",IF(AND(X157&lt;&gt;"",X157&gt;L157),"IPR après action plus élevé","OK")))))))))))))))))</f>
        <v/>
      </c>
      <c r="AC157" s="59" t="str">
        <f>IF(OR(AA157="En retard",AA157="Échéance proche",AA157="Dans les délais",AA157="Échéance manquante",AA157="Action à définir",AA157="À réévaluer"),IF(OR(plan_who="",P157=plan_who),IF(N(Q157)&gt;0,Q157,99999)*1000+ROW(),""),"")</f>
        <v/>
      </c>
      <c r="AD157" s="59" t="str">
        <f>IF(L157="","",L157*1000+1000-ROW())</f>
        <v/>
      </c>
      <c r="AE157" s="59" t="str">
        <f>IF(IF(AA157="En retard",1,IF(AA157="Action à définir",2,IF(AA157="Échéance manquante",3,IF(AA157="Échéance proche",4,IF(AA157="À réévaluer",5,0)))))=0,"",IF(AA157="En retard",1,IF(AA157="Action à définir",2,IF(AA157="Échéance manquante",3,IF(AA157="Échéance proche",4,IF(AA157="À réévaluer",5,0)))))*100000000+IF(N(Q157)&gt;0,Q157,99999)*1000+ROW())</f>
        <v/>
      </c>
      <c r="AF157" s="59" t="str">
        <f>IF(X157&lt;&gt;"",X157,L157)</f>
        <v/>
      </c>
      <c r="AG157" s="59" t="str">
        <f>IF(X157&lt;&gt;"",Y157,IF(L157&lt;&gt;"",M157,""))</f>
        <v/>
      </c>
      <c r="AH157" s="59" t="str">
        <f>IF(L157="","",IF(X157&lt;&gt;"",U157,F157))</f>
        <v/>
      </c>
      <c r="AI157" s="59" t="str">
        <f>IF(L157="","",IF(X157&lt;&gt;"",V157,H157))</f>
        <v/>
      </c>
    </row>
    <row r="158" ht="30" customHeight="1">
      <c r="A158" s="50" t="n"/>
      <c r="B158" s="51" t="n"/>
      <c r="C158" s="51" t="n"/>
      <c r="D158" s="51" t="n"/>
      <c r="E158" s="51" t="n"/>
      <c r="F158" s="52" t="n"/>
      <c r="G158" s="51" t="n"/>
      <c r="H158" s="52" t="n"/>
      <c r="I158" s="51" t="n"/>
      <c r="J158" s="51" t="n"/>
      <c r="K158" s="52" t="n"/>
      <c r="L158" s="53" t="str">
        <f>IF(AND(IF(ISNUMBER(F158),AND(F158&gt;=1,F158&lt;=10,F158=INT(F158)),FALSE),IF(ISNUMBER(H158),AND(H158&gt;=1,H158&lt;=10,H158=INT(H158)),FALSE),IF(ISNUMBER(K158),AND(K158&gt;=1,K158&lt;=10,K158=INT(K158)),FALSE)),F158*H158*K158,"")</f>
        <v/>
      </c>
      <c r="M158" s="54" t="str">
        <f>IF(L158="",IF(D158="","","À coter"),IF(OR(F158&gt;=p_gmin,L158&gt;=p_ipr_crit),"Critique",IF(L158&gt;=p_ipr_act,"Élevée",IF(L158&gt;=p_ipr_watch,"Moyenne","Faible"))))</f>
        <v/>
      </c>
      <c r="N158" s="54" t="str">
        <f>IF(OR(M158="",M158="À coter"),"",IF(OR(M158="Critique",M158="Élevée"),"Oui","Non"))</f>
        <v/>
      </c>
      <c r="O158" s="51" t="n"/>
      <c r="P158" s="51" t="n"/>
      <c r="Q158" s="55" t="n"/>
      <c r="R158" s="50" t="n"/>
      <c r="S158" s="55" t="n"/>
      <c r="T158" s="56" t="n"/>
      <c r="U158" s="52" t="n"/>
      <c r="V158" s="52" t="n"/>
      <c r="W158" s="52" t="n"/>
      <c r="X158" s="53" t="str">
        <f>IF(AND(L158&lt;&gt;"",IF(ISNUMBER(U158),AND(U158&gt;=1,U158&lt;=10,U158=INT(U158)),FALSE),IF(ISNUMBER(V158),AND(V158&gt;=1,V158&lt;=10,V158=INT(V158)),FALSE),IF(ISNUMBER(W158),AND(W158&gt;=1,W158&lt;=10,W158=INT(W158)),FALSE)),U158*V158*W158,"")</f>
        <v/>
      </c>
      <c r="Y158" s="54" t="str">
        <f>IF(X158="","",IF(OR(U158&gt;=p_gmin,X158&gt;=p_ipr_crit),"Critique",IF(X158&gt;=p_ipr_act,"Élevée",IF(X158&gt;=p_ipr_watch,"Moyenne","Faible"))))</f>
        <v/>
      </c>
      <c r="Z158" s="57" t="str">
        <f>IF(X158="","",(L158-X158)/L158)</f>
        <v/>
      </c>
      <c r="AA158" s="54" t="str">
        <f>IF(AND(D158="",O158=""),"",IF(O158="",IF(N158="Oui","Action à définir",IF(N158="Non","Sans action","")),IF(R158="Annulée","Annulée",IF(R158="Réalisée",IF(X158="","À réévaluer","Réalisée"),IF(N(Q158)=0,"Échéance manquante",IF(Q158&lt;p_today,"En retard",IF(Q158-p_today&lt;=p_alert,"Échéance proche","Dans les délais")))))))</f>
        <v/>
      </c>
      <c r="AB158" s="58" t="str">
        <f>IF(AND(A158="",B158="",D158="",F158="",H158="",K158="",O158=""),"",IF(D158="","Mode de défaillance manquant",IF(AND(A158&lt;&gt;"",COUNTIF(am_num,A158)&gt;1),"N° en double",IF(F158="","Gravité G manquante",IF(NOT(IF(ISNUMBER(F158),AND(F158&gt;=1,F158&lt;=10,F158=INT(F158)),FALSE)),"G : entier de 1 à 10",IF(H158="","Occurrence O manquante",IF(NOT(IF(ISNUMBER(H158),AND(H158&gt;=1,H158&lt;=10,H158=INT(H158)),FALSE)),"O : entier de 1 à 10",IF(K158="","Détection D manquante",IF(NOT(IF(ISNUMBER(K158),AND(K158&gt;=1,K158&lt;=10,K158=INT(K158)),FALSE)),"D : entier de 1 à 10",IF(G158="","Cause manquante",IF(AND(O158&lt;&gt;"",P158=""),"Responsable manquant",IF(AND(R158&lt;&gt;"",O158=""),"Statut sans action",IF(AND(R158="Réalisée",N(S158)=0),"Date de réalisation manquante",IF(AND(T158&lt;&gt;"",IF(ISNUMBER(T158),T158&lt;0,TRUE)),"Coût invalide",IF(AND(COUNTBLANK(U158:W158)&gt;0,COUNTBLANK(U158:W158)&lt;3),"Cotation après action incomplète",IF(AND(COUNTBLANK(U158:W158)=0,X158=""),"G', O', D' : entiers de 1 à 10",IF(AND(X158&lt;&gt;"",X158&gt;L158),"IPR après action plus élevé","OK")))))))))))))))))</f>
        <v/>
      </c>
      <c r="AC158" s="59" t="str">
        <f>IF(OR(AA158="En retard",AA158="Échéance proche",AA158="Dans les délais",AA158="Échéance manquante",AA158="Action à définir",AA158="À réévaluer"),IF(OR(plan_who="",P158=plan_who),IF(N(Q158)&gt;0,Q158,99999)*1000+ROW(),""),"")</f>
        <v/>
      </c>
      <c r="AD158" s="59" t="str">
        <f>IF(L158="","",L158*1000+1000-ROW())</f>
        <v/>
      </c>
      <c r="AE158" s="59" t="str">
        <f>IF(IF(AA158="En retard",1,IF(AA158="Action à définir",2,IF(AA158="Échéance manquante",3,IF(AA158="Échéance proche",4,IF(AA158="À réévaluer",5,0)))))=0,"",IF(AA158="En retard",1,IF(AA158="Action à définir",2,IF(AA158="Échéance manquante",3,IF(AA158="Échéance proche",4,IF(AA158="À réévaluer",5,0)))))*100000000+IF(N(Q158)&gt;0,Q158,99999)*1000+ROW())</f>
        <v/>
      </c>
      <c r="AF158" s="59" t="str">
        <f>IF(X158&lt;&gt;"",X158,L158)</f>
        <v/>
      </c>
      <c r="AG158" s="59" t="str">
        <f>IF(X158&lt;&gt;"",Y158,IF(L158&lt;&gt;"",M158,""))</f>
        <v/>
      </c>
      <c r="AH158" s="59" t="str">
        <f>IF(L158="","",IF(X158&lt;&gt;"",U158,F158))</f>
        <v/>
      </c>
      <c r="AI158" s="59" t="str">
        <f>IF(L158="","",IF(X158&lt;&gt;"",V158,H158))</f>
        <v/>
      </c>
    </row>
    <row r="159" ht="30" customHeight="1">
      <c r="A159" s="50" t="n"/>
      <c r="B159" s="51" t="n"/>
      <c r="C159" s="51" t="n"/>
      <c r="D159" s="51" t="n"/>
      <c r="E159" s="51" t="n"/>
      <c r="F159" s="52" t="n"/>
      <c r="G159" s="51" t="n"/>
      <c r="H159" s="52" t="n"/>
      <c r="I159" s="51" t="n"/>
      <c r="J159" s="51" t="n"/>
      <c r="K159" s="52" t="n"/>
      <c r="L159" s="53" t="str">
        <f>IF(AND(IF(ISNUMBER(F159),AND(F159&gt;=1,F159&lt;=10,F159=INT(F159)),FALSE),IF(ISNUMBER(H159),AND(H159&gt;=1,H159&lt;=10,H159=INT(H159)),FALSE),IF(ISNUMBER(K159),AND(K159&gt;=1,K159&lt;=10,K159=INT(K159)),FALSE)),F159*H159*K159,"")</f>
        <v/>
      </c>
      <c r="M159" s="54" t="str">
        <f>IF(L159="",IF(D159="","","À coter"),IF(OR(F159&gt;=p_gmin,L159&gt;=p_ipr_crit),"Critique",IF(L159&gt;=p_ipr_act,"Élevée",IF(L159&gt;=p_ipr_watch,"Moyenne","Faible"))))</f>
        <v/>
      </c>
      <c r="N159" s="54" t="str">
        <f>IF(OR(M159="",M159="À coter"),"",IF(OR(M159="Critique",M159="Élevée"),"Oui","Non"))</f>
        <v/>
      </c>
      <c r="O159" s="51" t="n"/>
      <c r="P159" s="51" t="n"/>
      <c r="Q159" s="55" t="n"/>
      <c r="R159" s="50" t="n"/>
      <c r="S159" s="55" t="n"/>
      <c r="T159" s="56" t="n"/>
      <c r="U159" s="52" t="n"/>
      <c r="V159" s="52" t="n"/>
      <c r="W159" s="52" t="n"/>
      <c r="X159" s="53" t="str">
        <f>IF(AND(L159&lt;&gt;"",IF(ISNUMBER(U159),AND(U159&gt;=1,U159&lt;=10,U159=INT(U159)),FALSE),IF(ISNUMBER(V159),AND(V159&gt;=1,V159&lt;=10,V159=INT(V159)),FALSE),IF(ISNUMBER(W159),AND(W159&gt;=1,W159&lt;=10,W159=INT(W159)),FALSE)),U159*V159*W159,"")</f>
        <v/>
      </c>
      <c r="Y159" s="54" t="str">
        <f>IF(X159="","",IF(OR(U159&gt;=p_gmin,X159&gt;=p_ipr_crit),"Critique",IF(X159&gt;=p_ipr_act,"Élevée",IF(X159&gt;=p_ipr_watch,"Moyenne","Faible"))))</f>
        <v/>
      </c>
      <c r="Z159" s="57" t="str">
        <f>IF(X159="","",(L159-X159)/L159)</f>
        <v/>
      </c>
      <c r="AA159" s="54" t="str">
        <f>IF(AND(D159="",O159=""),"",IF(O159="",IF(N159="Oui","Action à définir",IF(N159="Non","Sans action","")),IF(R159="Annulée","Annulée",IF(R159="Réalisée",IF(X159="","À réévaluer","Réalisée"),IF(N(Q159)=0,"Échéance manquante",IF(Q159&lt;p_today,"En retard",IF(Q159-p_today&lt;=p_alert,"Échéance proche","Dans les délais")))))))</f>
        <v/>
      </c>
      <c r="AB159" s="58" t="str">
        <f>IF(AND(A159="",B159="",D159="",F159="",H159="",K159="",O159=""),"",IF(D159="","Mode de défaillance manquant",IF(AND(A159&lt;&gt;"",COUNTIF(am_num,A159)&gt;1),"N° en double",IF(F159="","Gravité G manquante",IF(NOT(IF(ISNUMBER(F159),AND(F159&gt;=1,F159&lt;=10,F159=INT(F159)),FALSE)),"G : entier de 1 à 10",IF(H159="","Occurrence O manquante",IF(NOT(IF(ISNUMBER(H159),AND(H159&gt;=1,H159&lt;=10,H159=INT(H159)),FALSE)),"O : entier de 1 à 10",IF(K159="","Détection D manquante",IF(NOT(IF(ISNUMBER(K159),AND(K159&gt;=1,K159&lt;=10,K159=INT(K159)),FALSE)),"D : entier de 1 à 10",IF(G159="","Cause manquante",IF(AND(O159&lt;&gt;"",P159=""),"Responsable manquant",IF(AND(R159&lt;&gt;"",O159=""),"Statut sans action",IF(AND(R159="Réalisée",N(S159)=0),"Date de réalisation manquante",IF(AND(T159&lt;&gt;"",IF(ISNUMBER(T159),T159&lt;0,TRUE)),"Coût invalide",IF(AND(COUNTBLANK(U159:W159)&gt;0,COUNTBLANK(U159:W159)&lt;3),"Cotation après action incomplète",IF(AND(COUNTBLANK(U159:W159)=0,X159=""),"G', O', D' : entiers de 1 à 10",IF(AND(X159&lt;&gt;"",X159&gt;L159),"IPR après action plus élevé","OK")))))))))))))))))</f>
        <v/>
      </c>
      <c r="AC159" s="59" t="str">
        <f>IF(OR(AA159="En retard",AA159="Échéance proche",AA159="Dans les délais",AA159="Échéance manquante",AA159="Action à définir",AA159="À réévaluer"),IF(OR(plan_who="",P159=plan_who),IF(N(Q159)&gt;0,Q159,99999)*1000+ROW(),""),"")</f>
        <v/>
      </c>
      <c r="AD159" s="59" t="str">
        <f>IF(L159="","",L159*1000+1000-ROW())</f>
        <v/>
      </c>
      <c r="AE159" s="59" t="str">
        <f>IF(IF(AA159="En retard",1,IF(AA159="Action à définir",2,IF(AA159="Échéance manquante",3,IF(AA159="Échéance proche",4,IF(AA159="À réévaluer",5,0)))))=0,"",IF(AA159="En retard",1,IF(AA159="Action à définir",2,IF(AA159="Échéance manquante",3,IF(AA159="Échéance proche",4,IF(AA159="À réévaluer",5,0)))))*100000000+IF(N(Q159)&gt;0,Q159,99999)*1000+ROW())</f>
        <v/>
      </c>
      <c r="AF159" s="59" t="str">
        <f>IF(X159&lt;&gt;"",X159,L159)</f>
        <v/>
      </c>
      <c r="AG159" s="59" t="str">
        <f>IF(X159&lt;&gt;"",Y159,IF(L159&lt;&gt;"",M159,""))</f>
        <v/>
      </c>
      <c r="AH159" s="59" t="str">
        <f>IF(L159="","",IF(X159&lt;&gt;"",U159,F159))</f>
        <v/>
      </c>
      <c r="AI159" s="59" t="str">
        <f>IF(L159="","",IF(X159&lt;&gt;"",V159,H159))</f>
        <v/>
      </c>
    </row>
    <row r="160" ht="30" customHeight="1">
      <c r="A160" s="50" t="n"/>
      <c r="B160" s="51" t="n"/>
      <c r="C160" s="51" t="n"/>
      <c r="D160" s="51" t="n"/>
      <c r="E160" s="51" t="n"/>
      <c r="F160" s="52" t="n"/>
      <c r="G160" s="51" t="n"/>
      <c r="H160" s="52" t="n"/>
      <c r="I160" s="51" t="n"/>
      <c r="J160" s="51" t="n"/>
      <c r="K160" s="52" t="n"/>
      <c r="L160" s="53" t="str">
        <f>IF(AND(IF(ISNUMBER(F160),AND(F160&gt;=1,F160&lt;=10,F160=INT(F160)),FALSE),IF(ISNUMBER(H160),AND(H160&gt;=1,H160&lt;=10,H160=INT(H160)),FALSE),IF(ISNUMBER(K160),AND(K160&gt;=1,K160&lt;=10,K160=INT(K160)),FALSE)),F160*H160*K160,"")</f>
        <v/>
      </c>
      <c r="M160" s="54" t="str">
        <f>IF(L160="",IF(D160="","","À coter"),IF(OR(F160&gt;=p_gmin,L160&gt;=p_ipr_crit),"Critique",IF(L160&gt;=p_ipr_act,"Élevée",IF(L160&gt;=p_ipr_watch,"Moyenne","Faible"))))</f>
        <v/>
      </c>
      <c r="N160" s="54" t="str">
        <f>IF(OR(M160="",M160="À coter"),"",IF(OR(M160="Critique",M160="Élevée"),"Oui","Non"))</f>
        <v/>
      </c>
      <c r="O160" s="51" t="n"/>
      <c r="P160" s="51" t="n"/>
      <c r="Q160" s="55" t="n"/>
      <c r="R160" s="50" t="n"/>
      <c r="S160" s="55" t="n"/>
      <c r="T160" s="56" t="n"/>
      <c r="U160" s="52" t="n"/>
      <c r="V160" s="52" t="n"/>
      <c r="W160" s="52" t="n"/>
      <c r="X160" s="53" t="str">
        <f>IF(AND(L160&lt;&gt;"",IF(ISNUMBER(U160),AND(U160&gt;=1,U160&lt;=10,U160=INT(U160)),FALSE),IF(ISNUMBER(V160),AND(V160&gt;=1,V160&lt;=10,V160=INT(V160)),FALSE),IF(ISNUMBER(W160),AND(W160&gt;=1,W160&lt;=10,W160=INT(W160)),FALSE)),U160*V160*W160,"")</f>
        <v/>
      </c>
      <c r="Y160" s="54" t="str">
        <f>IF(X160="","",IF(OR(U160&gt;=p_gmin,X160&gt;=p_ipr_crit),"Critique",IF(X160&gt;=p_ipr_act,"Élevée",IF(X160&gt;=p_ipr_watch,"Moyenne","Faible"))))</f>
        <v/>
      </c>
      <c r="Z160" s="57" t="str">
        <f>IF(X160="","",(L160-X160)/L160)</f>
        <v/>
      </c>
      <c r="AA160" s="54" t="str">
        <f>IF(AND(D160="",O160=""),"",IF(O160="",IF(N160="Oui","Action à définir",IF(N160="Non","Sans action","")),IF(R160="Annulée","Annulée",IF(R160="Réalisée",IF(X160="","À réévaluer","Réalisée"),IF(N(Q160)=0,"Échéance manquante",IF(Q160&lt;p_today,"En retard",IF(Q160-p_today&lt;=p_alert,"Échéance proche","Dans les délais")))))))</f>
        <v/>
      </c>
      <c r="AB160" s="58" t="str">
        <f>IF(AND(A160="",B160="",D160="",F160="",H160="",K160="",O160=""),"",IF(D160="","Mode de défaillance manquant",IF(AND(A160&lt;&gt;"",COUNTIF(am_num,A160)&gt;1),"N° en double",IF(F160="","Gravité G manquante",IF(NOT(IF(ISNUMBER(F160),AND(F160&gt;=1,F160&lt;=10,F160=INT(F160)),FALSE)),"G : entier de 1 à 10",IF(H160="","Occurrence O manquante",IF(NOT(IF(ISNUMBER(H160),AND(H160&gt;=1,H160&lt;=10,H160=INT(H160)),FALSE)),"O : entier de 1 à 10",IF(K160="","Détection D manquante",IF(NOT(IF(ISNUMBER(K160),AND(K160&gt;=1,K160&lt;=10,K160=INT(K160)),FALSE)),"D : entier de 1 à 10",IF(G160="","Cause manquante",IF(AND(O160&lt;&gt;"",P160=""),"Responsable manquant",IF(AND(R160&lt;&gt;"",O160=""),"Statut sans action",IF(AND(R160="Réalisée",N(S160)=0),"Date de réalisation manquante",IF(AND(T160&lt;&gt;"",IF(ISNUMBER(T160),T160&lt;0,TRUE)),"Coût invalide",IF(AND(COUNTBLANK(U160:W160)&gt;0,COUNTBLANK(U160:W160)&lt;3),"Cotation après action incomplète",IF(AND(COUNTBLANK(U160:W160)=0,X160=""),"G', O', D' : entiers de 1 à 10",IF(AND(X160&lt;&gt;"",X160&gt;L160),"IPR après action plus élevé","OK")))))))))))))))))</f>
        <v/>
      </c>
      <c r="AC160" s="59" t="str">
        <f>IF(OR(AA160="En retard",AA160="Échéance proche",AA160="Dans les délais",AA160="Échéance manquante",AA160="Action à définir",AA160="À réévaluer"),IF(OR(plan_who="",P160=plan_who),IF(N(Q160)&gt;0,Q160,99999)*1000+ROW(),""),"")</f>
        <v/>
      </c>
      <c r="AD160" s="59" t="str">
        <f>IF(L160="","",L160*1000+1000-ROW())</f>
        <v/>
      </c>
      <c r="AE160" s="59" t="str">
        <f>IF(IF(AA160="En retard",1,IF(AA160="Action à définir",2,IF(AA160="Échéance manquante",3,IF(AA160="Échéance proche",4,IF(AA160="À réévaluer",5,0)))))=0,"",IF(AA160="En retard",1,IF(AA160="Action à définir",2,IF(AA160="Échéance manquante",3,IF(AA160="Échéance proche",4,IF(AA160="À réévaluer",5,0)))))*100000000+IF(N(Q160)&gt;0,Q160,99999)*1000+ROW())</f>
        <v/>
      </c>
      <c r="AF160" s="59" t="str">
        <f>IF(X160&lt;&gt;"",X160,L160)</f>
        <v/>
      </c>
      <c r="AG160" s="59" t="str">
        <f>IF(X160&lt;&gt;"",Y160,IF(L160&lt;&gt;"",M160,""))</f>
        <v/>
      </c>
      <c r="AH160" s="59" t="str">
        <f>IF(L160="","",IF(X160&lt;&gt;"",U160,F160))</f>
        <v/>
      </c>
      <c r="AI160" s="59" t="str">
        <f>IF(L160="","",IF(X160&lt;&gt;"",V160,H160))</f>
        <v/>
      </c>
    </row>
    <row r="161" ht="30" customHeight="1">
      <c r="A161" s="50" t="n"/>
      <c r="B161" s="51" t="n"/>
      <c r="C161" s="51" t="n"/>
      <c r="D161" s="51" t="n"/>
      <c r="E161" s="51" t="n"/>
      <c r="F161" s="52" t="n"/>
      <c r="G161" s="51" t="n"/>
      <c r="H161" s="52" t="n"/>
      <c r="I161" s="51" t="n"/>
      <c r="J161" s="51" t="n"/>
      <c r="K161" s="52" t="n"/>
      <c r="L161" s="53" t="str">
        <f>IF(AND(IF(ISNUMBER(F161),AND(F161&gt;=1,F161&lt;=10,F161=INT(F161)),FALSE),IF(ISNUMBER(H161),AND(H161&gt;=1,H161&lt;=10,H161=INT(H161)),FALSE),IF(ISNUMBER(K161),AND(K161&gt;=1,K161&lt;=10,K161=INT(K161)),FALSE)),F161*H161*K161,"")</f>
        <v/>
      </c>
      <c r="M161" s="54" t="str">
        <f>IF(L161="",IF(D161="","","À coter"),IF(OR(F161&gt;=p_gmin,L161&gt;=p_ipr_crit),"Critique",IF(L161&gt;=p_ipr_act,"Élevée",IF(L161&gt;=p_ipr_watch,"Moyenne","Faible"))))</f>
        <v/>
      </c>
      <c r="N161" s="54" t="str">
        <f>IF(OR(M161="",M161="À coter"),"",IF(OR(M161="Critique",M161="Élevée"),"Oui","Non"))</f>
        <v/>
      </c>
      <c r="O161" s="51" t="n"/>
      <c r="P161" s="51" t="n"/>
      <c r="Q161" s="55" t="n"/>
      <c r="R161" s="50" t="n"/>
      <c r="S161" s="55" t="n"/>
      <c r="T161" s="56" t="n"/>
      <c r="U161" s="52" t="n"/>
      <c r="V161" s="52" t="n"/>
      <c r="W161" s="52" t="n"/>
      <c r="X161" s="53" t="str">
        <f>IF(AND(L161&lt;&gt;"",IF(ISNUMBER(U161),AND(U161&gt;=1,U161&lt;=10,U161=INT(U161)),FALSE),IF(ISNUMBER(V161),AND(V161&gt;=1,V161&lt;=10,V161=INT(V161)),FALSE),IF(ISNUMBER(W161),AND(W161&gt;=1,W161&lt;=10,W161=INT(W161)),FALSE)),U161*V161*W161,"")</f>
        <v/>
      </c>
      <c r="Y161" s="54" t="str">
        <f>IF(X161="","",IF(OR(U161&gt;=p_gmin,X161&gt;=p_ipr_crit),"Critique",IF(X161&gt;=p_ipr_act,"Élevée",IF(X161&gt;=p_ipr_watch,"Moyenne","Faible"))))</f>
        <v/>
      </c>
      <c r="Z161" s="57" t="str">
        <f>IF(X161="","",(L161-X161)/L161)</f>
        <v/>
      </c>
      <c r="AA161" s="54" t="str">
        <f>IF(AND(D161="",O161=""),"",IF(O161="",IF(N161="Oui","Action à définir",IF(N161="Non","Sans action","")),IF(R161="Annulée","Annulée",IF(R161="Réalisée",IF(X161="","À réévaluer","Réalisée"),IF(N(Q161)=0,"Échéance manquante",IF(Q161&lt;p_today,"En retard",IF(Q161-p_today&lt;=p_alert,"Échéance proche","Dans les délais")))))))</f>
        <v/>
      </c>
      <c r="AB161" s="58" t="str">
        <f>IF(AND(A161="",B161="",D161="",F161="",H161="",K161="",O161=""),"",IF(D161="","Mode de défaillance manquant",IF(AND(A161&lt;&gt;"",COUNTIF(am_num,A161)&gt;1),"N° en double",IF(F161="","Gravité G manquante",IF(NOT(IF(ISNUMBER(F161),AND(F161&gt;=1,F161&lt;=10,F161=INT(F161)),FALSE)),"G : entier de 1 à 10",IF(H161="","Occurrence O manquante",IF(NOT(IF(ISNUMBER(H161),AND(H161&gt;=1,H161&lt;=10,H161=INT(H161)),FALSE)),"O : entier de 1 à 10",IF(K161="","Détection D manquante",IF(NOT(IF(ISNUMBER(K161),AND(K161&gt;=1,K161&lt;=10,K161=INT(K161)),FALSE)),"D : entier de 1 à 10",IF(G161="","Cause manquante",IF(AND(O161&lt;&gt;"",P161=""),"Responsable manquant",IF(AND(R161&lt;&gt;"",O161=""),"Statut sans action",IF(AND(R161="Réalisée",N(S161)=0),"Date de réalisation manquante",IF(AND(T161&lt;&gt;"",IF(ISNUMBER(T161),T161&lt;0,TRUE)),"Coût invalide",IF(AND(COUNTBLANK(U161:W161)&gt;0,COUNTBLANK(U161:W161)&lt;3),"Cotation après action incomplète",IF(AND(COUNTBLANK(U161:W161)=0,X161=""),"G', O', D' : entiers de 1 à 10",IF(AND(X161&lt;&gt;"",X161&gt;L161),"IPR après action plus élevé","OK")))))))))))))))))</f>
        <v/>
      </c>
      <c r="AC161" s="59" t="str">
        <f>IF(OR(AA161="En retard",AA161="Échéance proche",AA161="Dans les délais",AA161="Échéance manquante",AA161="Action à définir",AA161="À réévaluer"),IF(OR(plan_who="",P161=plan_who),IF(N(Q161)&gt;0,Q161,99999)*1000+ROW(),""),"")</f>
        <v/>
      </c>
      <c r="AD161" s="59" t="str">
        <f>IF(L161="","",L161*1000+1000-ROW())</f>
        <v/>
      </c>
      <c r="AE161" s="59" t="str">
        <f>IF(IF(AA161="En retard",1,IF(AA161="Action à définir",2,IF(AA161="Échéance manquante",3,IF(AA161="Échéance proche",4,IF(AA161="À réévaluer",5,0)))))=0,"",IF(AA161="En retard",1,IF(AA161="Action à définir",2,IF(AA161="Échéance manquante",3,IF(AA161="Échéance proche",4,IF(AA161="À réévaluer",5,0)))))*100000000+IF(N(Q161)&gt;0,Q161,99999)*1000+ROW())</f>
        <v/>
      </c>
      <c r="AF161" s="59" t="str">
        <f>IF(X161&lt;&gt;"",X161,L161)</f>
        <v/>
      </c>
      <c r="AG161" s="59" t="str">
        <f>IF(X161&lt;&gt;"",Y161,IF(L161&lt;&gt;"",M161,""))</f>
        <v/>
      </c>
      <c r="AH161" s="59" t="str">
        <f>IF(L161="","",IF(X161&lt;&gt;"",U161,F161))</f>
        <v/>
      </c>
      <c r="AI161" s="59" t="str">
        <f>IF(L161="","",IF(X161&lt;&gt;"",V161,H161))</f>
        <v/>
      </c>
    </row>
    <row r="162" ht="30" customHeight="1">
      <c r="A162" s="50" t="n"/>
      <c r="B162" s="51" t="n"/>
      <c r="C162" s="51" t="n"/>
      <c r="D162" s="51" t="n"/>
      <c r="E162" s="51" t="n"/>
      <c r="F162" s="52" t="n"/>
      <c r="G162" s="51" t="n"/>
      <c r="H162" s="52" t="n"/>
      <c r="I162" s="51" t="n"/>
      <c r="J162" s="51" t="n"/>
      <c r="K162" s="52" t="n"/>
      <c r="L162" s="53" t="str">
        <f>IF(AND(IF(ISNUMBER(F162),AND(F162&gt;=1,F162&lt;=10,F162=INT(F162)),FALSE),IF(ISNUMBER(H162),AND(H162&gt;=1,H162&lt;=10,H162=INT(H162)),FALSE),IF(ISNUMBER(K162),AND(K162&gt;=1,K162&lt;=10,K162=INT(K162)),FALSE)),F162*H162*K162,"")</f>
        <v/>
      </c>
      <c r="M162" s="54" t="str">
        <f>IF(L162="",IF(D162="","","À coter"),IF(OR(F162&gt;=p_gmin,L162&gt;=p_ipr_crit),"Critique",IF(L162&gt;=p_ipr_act,"Élevée",IF(L162&gt;=p_ipr_watch,"Moyenne","Faible"))))</f>
        <v/>
      </c>
      <c r="N162" s="54" t="str">
        <f>IF(OR(M162="",M162="À coter"),"",IF(OR(M162="Critique",M162="Élevée"),"Oui","Non"))</f>
        <v/>
      </c>
      <c r="O162" s="51" t="n"/>
      <c r="P162" s="51" t="n"/>
      <c r="Q162" s="55" t="n"/>
      <c r="R162" s="50" t="n"/>
      <c r="S162" s="55" t="n"/>
      <c r="T162" s="56" t="n"/>
      <c r="U162" s="52" t="n"/>
      <c r="V162" s="52" t="n"/>
      <c r="W162" s="52" t="n"/>
      <c r="X162" s="53" t="str">
        <f>IF(AND(L162&lt;&gt;"",IF(ISNUMBER(U162),AND(U162&gt;=1,U162&lt;=10,U162=INT(U162)),FALSE),IF(ISNUMBER(V162),AND(V162&gt;=1,V162&lt;=10,V162=INT(V162)),FALSE),IF(ISNUMBER(W162),AND(W162&gt;=1,W162&lt;=10,W162=INT(W162)),FALSE)),U162*V162*W162,"")</f>
        <v/>
      </c>
      <c r="Y162" s="54" t="str">
        <f>IF(X162="","",IF(OR(U162&gt;=p_gmin,X162&gt;=p_ipr_crit),"Critique",IF(X162&gt;=p_ipr_act,"Élevée",IF(X162&gt;=p_ipr_watch,"Moyenne","Faible"))))</f>
        <v/>
      </c>
      <c r="Z162" s="57" t="str">
        <f>IF(X162="","",(L162-X162)/L162)</f>
        <v/>
      </c>
      <c r="AA162" s="54" t="str">
        <f>IF(AND(D162="",O162=""),"",IF(O162="",IF(N162="Oui","Action à définir",IF(N162="Non","Sans action","")),IF(R162="Annulée","Annulée",IF(R162="Réalisée",IF(X162="","À réévaluer","Réalisée"),IF(N(Q162)=0,"Échéance manquante",IF(Q162&lt;p_today,"En retard",IF(Q162-p_today&lt;=p_alert,"Échéance proche","Dans les délais")))))))</f>
        <v/>
      </c>
      <c r="AB162" s="58" t="str">
        <f>IF(AND(A162="",B162="",D162="",F162="",H162="",K162="",O162=""),"",IF(D162="","Mode de défaillance manquant",IF(AND(A162&lt;&gt;"",COUNTIF(am_num,A162)&gt;1),"N° en double",IF(F162="","Gravité G manquante",IF(NOT(IF(ISNUMBER(F162),AND(F162&gt;=1,F162&lt;=10,F162=INT(F162)),FALSE)),"G : entier de 1 à 10",IF(H162="","Occurrence O manquante",IF(NOT(IF(ISNUMBER(H162),AND(H162&gt;=1,H162&lt;=10,H162=INT(H162)),FALSE)),"O : entier de 1 à 10",IF(K162="","Détection D manquante",IF(NOT(IF(ISNUMBER(K162),AND(K162&gt;=1,K162&lt;=10,K162=INT(K162)),FALSE)),"D : entier de 1 à 10",IF(G162="","Cause manquante",IF(AND(O162&lt;&gt;"",P162=""),"Responsable manquant",IF(AND(R162&lt;&gt;"",O162=""),"Statut sans action",IF(AND(R162="Réalisée",N(S162)=0),"Date de réalisation manquante",IF(AND(T162&lt;&gt;"",IF(ISNUMBER(T162),T162&lt;0,TRUE)),"Coût invalide",IF(AND(COUNTBLANK(U162:W162)&gt;0,COUNTBLANK(U162:W162)&lt;3),"Cotation après action incomplète",IF(AND(COUNTBLANK(U162:W162)=0,X162=""),"G', O', D' : entiers de 1 à 10",IF(AND(X162&lt;&gt;"",X162&gt;L162),"IPR après action plus élevé","OK")))))))))))))))))</f>
        <v/>
      </c>
      <c r="AC162" s="59" t="str">
        <f>IF(OR(AA162="En retard",AA162="Échéance proche",AA162="Dans les délais",AA162="Échéance manquante",AA162="Action à définir",AA162="À réévaluer"),IF(OR(plan_who="",P162=plan_who),IF(N(Q162)&gt;0,Q162,99999)*1000+ROW(),""),"")</f>
        <v/>
      </c>
      <c r="AD162" s="59" t="str">
        <f>IF(L162="","",L162*1000+1000-ROW())</f>
        <v/>
      </c>
      <c r="AE162" s="59" t="str">
        <f>IF(IF(AA162="En retard",1,IF(AA162="Action à définir",2,IF(AA162="Échéance manquante",3,IF(AA162="Échéance proche",4,IF(AA162="À réévaluer",5,0)))))=0,"",IF(AA162="En retard",1,IF(AA162="Action à définir",2,IF(AA162="Échéance manquante",3,IF(AA162="Échéance proche",4,IF(AA162="À réévaluer",5,0)))))*100000000+IF(N(Q162)&gt;0,Q162,99999)*1000+ROW())</f>
        <v/>
      </c>
      <c r="AF162" s="59" t="str">
        <f>IF(X162&lt;&gt;"",X162,L162)</f>
        <v/>
      </c>
      <c r="AG162" s="59" t="str">
        <f>IF(X162&lt;&gt;"",Y162,IF(L162&lt;&gt;"",M162,""))</f>
        <v/>
      </c>
      <c r="AH162" s="59" t="str">
        <f>IF(L162="","",IF(X162&lt;&gt;"",U162,F162))</f>
        <v/>
      </c>
      <c r="AI162" s="59" t="str">
        <f>IF(L162="","",IF(X162&lt;&gt;"",V162,H162))</f>
        <v/>
      </c>
    </row>
    <row r="163" ht="30" customHeight="1">
      <c r="A163" s="50" t="n"/>
      <c r="B163" s="51" t="n"/>
      <c r="C163" s="51" t="n"/>
      <c r="D163" s="51" t="n"/>
      <c r="E163" s="51" t="n"/>
      <c r="F163" s="52" t="n"/>
      <c r="G163" s="51" t="n"/>
      <c r="H163" s="52" t="n"/>
      <c r="I163" s="51" t="n"/>
      <c r="J163" s="51" t="n"/>
      <c r="K163" s="52" t="n"/>
      <c r="L163" s="53" t="str">
        <f>IF(AND(IF(ISNUMBER(F163),AND(F163&gt;=1,F163&lt;=10,F163=INT(F163)),FALSE),IF(ISNUMBER(H163),AND(H163&gt;=1,H163&lt;=10,H163=INT(H163)),FALSE),IF(ISNUMBER(K163),AND(K163&gt;=1,K163&lt;=10,K163=INT(K163)),FALSE)),F163*H163*K163,"")</f>
        <v/>
      </c>
      <c r="M163" s="54" t="str">
        <f>IF(L163="",IF(D163="","","À coter"),IF(OR(F163&gt;=p_gmin,L163&gt;=p_ipr_crit),"Critique",IF(L163&gt;=p_ipr_act,"Élevée",IF(L163&gt;=p_ipr_watch,"Moyenne","Faible"))))</f>
        <v/>
      </c>
      <c r="N163" s="54" t="str">
        <f>IF(OR(M163="",M163="À coter"),"",IF(OR(M163="Critique",M163="Élevée"),"Oui","Non"))</f>
        <v/>
      </c>
      <c r="O163" s="51" t="n"/>
      <c r="P163" s="51" t="n"/>
      <c r="Q163" s="55" t="n"/>
      <c r="R163" s="50" t="n"/>
      <c r="S163" s="55" t="n"/>
      <c r="T163" s="56" t="n"/>
      <c r="U163" s="52" t="n"/>
      <c r="V163" s="52" t="n"/>
      <c r="W163" s="52" t="n"/>
      <c r="X163" s="53" t="str">
        <f>IF(AND(L163&lt;&gt;"",IF(ISNUMBER(U163),AND(U163&gt;=1,U163&lt;=10,U163=INT(U163)),FALSE),IF(ISNUMBER(V163),AND(V163&gt;=1,V163&lt;=10,V163=INT(V163)),FALSE),IF(ISNUMBER(W163),AND(W163&gt;=1,W163&lt;=10,W163=INT(W163)),FALSE)),U163*V163*W163,"")</f>
        <v/>
      </c>
      <c r="Y163" s="54" t="str">
        <f>IF(X163="","",IF(OR(U163&gt;=p_gmin,X163&gt;=p_ipr_crit),"Critique",IF(X163&gt;=p_ipr_act,"Élevée",IF(X163&gt;=p_ipr_watch,"Moyenne","Faible"))))</f>
        <v/>
      </c>
      <c r="Z163" s="57" t="str">
        <f>IF(X163="","",(L163-X163)/L163)</f>
        <v/>
      </c>
      <c r="AA163" s="54" t="str">
        <f>IF(AND(D163="",O163=""),"",IF(O163="",IF(N163="Oui","Action à définir",IF(N163="Non","Sans action","")),IF(R163="Annulée","Annulée",IF(R163="Réalisée",IF(X163="","À réévaluer","Réalisée"),IF(N(Q163)=0,"Échéance manquante",IF(Q163&lt;p_today,"En retard",IF(Q163-p_today&lt;=p_alert,"Échéance proche","Dans les délais")))))))</f>
        <v/>
      </c>
      <c r="AB163" s="58" t="str">
        <f>IF(AND(A163="",B163="",D163="",F163="",H163="",K163="",O163=""),"",IF(D163="","Mode de défaillance manquant",IF(AND(A163&lt;&gt;"",COUNTIF(am_num,A163)&gt;1),"N° en double",IF(F163="","Gravité G manquante",IF(NOT(IF(ISNUMBER(F163),AND(F163&gt;=1,F163&lt;=10,F163=INT(F163)),FALSE)),"G : entier de 1 à 10",IF(H163="","Occurrence O manquante",IF(NOT(IF(ISNUMBER(H163),AND(H163&gt;=1,H163&lt;=10,H163=INT(H163)),FALSE)),"O : entier de 1 à 10",IF(K163="","Détection D manquante",IF(NOT(IF(ISNUMBER(K163),AND(K163&gt;=1,K163&lt;=10,K163=INT(K163)),FALSE)),"D : entier de 1 à 10",IF(G163="","Cause manquante",IF(AND(O163&lt;&gt;"",P163=""),"Responsable manquant",IF(AND(R163&lt;&gt;"",O163=""),"Statut sans action",IF(AND(R163="Réalisée",N(S163)=0),"Date de réalisation manquante",IF(AND(T163&lt;&gt;"",IF(ISNUMBER(T163),T163&lt;0,TRUE)),"Coût invalide",IF(AND(COUNTBLANK(U163:W163)&gt;0,COUNTBLANK(U163:W163)&lt;3),"Cotation après action incomplète",IF(AND(COUNTBLANK(U163:W163)=0,X163=""),"G', O', D' : entiers de 1 à 10",IF(AND(X163&lt;&gt;"",X163&gt;L163),"IPR après action plus élevé","OK")))))))))))))))))</f>
        <v/>
      </c>
      <c r="AC163" s="59" t="str">
        <f>IF(OR(AA163="En retard",AA163="Échéance proche",AA163="Dans les délais",AA163="Échéance manquante",AA163="Action à définir",AA163="À réévaluer"),IF(OR(plan_who="",P163=plan_who),IF(N(Q163)&gt;0,Q163,99999)*1000+ROW(),""),"")</f>
        <v/>
      </c>
      <c r="AD163" s="59" t="str">
        <f>IF(L163="","",L163*1000+1000-ROW())</f>
        <v/>
      </c>
      <c r="AE163" s="59" t="str">
        <f>IF(IF(AA163="En retard",1,IF(AA163="Action à définir",2,IF(AA163="Échéance manquante",3,IF(AA163="Échéance proche",4,IF(AA163="À réévaluer",5,0)))))=0,"",IF(AA163="En retard",1,IF(AA163="Action à définir",2,IF(AA163="Échéance manquante",3,IF(AA163="Échéance proche",4,IF(AA163="À réévaluer",5,0)))))*100000000+IF(N(Q163)&gt;0,Q163,99999)*1000+ROW())</f>
        <v/>
      </c>
      <c r="AF163" s="59" t="str">
        <f>IF(X163&lt;&gt;"",X163,L163)</f>
        <v/>
      </c>
      <c r="AG163" s="59" t="str">
        <f>IF(X163&lt;&gt;"",Y163,IF(L163&lt;&gt;"",M163,""))</f>
        <v/>
      </c>
      <c r="AH163" s="59" t="str">
        <f>IF(L163="","",IF(X163&lt;&gt;"",U163,F163))</f>
        <v/>
      </c>
      <c r="AI163" s="59" t="str">
        <f>IF(L163="","",IF(X163&lt;&gt;"",V163,H163))</f>
        <v/>
      </c>
    </row>
    <row r="164" ht="30" customHeight="1">
      <c r="A164" s="50" t="n"/>
      <c r="B164" s="51" t="n"/>
      <c r="C164" s="51" t="n"/>
      <c r="D164" s="51" t="n"/>
      <c r="E164" s="51" t="n"/>
      <c r="F164" s="52" t="n"/>
      <c r="G164" s="51" t="n"/>
      <c r="H164" s="52" t="n"/>
      <c r="I164" s="51" t="n"/>
      <c r="J164" s="51" t="n"/>
      <c r="K164" s="52" t="n"/>
      <c r="L164" s="53" t="str">
        <f>IF(AND(IF(ISNUMBER(F164),AND(F164&gt;=1,F164&lt;=10,F164=INT(F164)),FALSE),IF(ISNUMBER(H164),AND(H164&gt;=1,H164&lt;=10,H164=INT(H164)),FALSE),IF(ISNUMBER(K164),AND(K164&gt;=1,K164&lt;=10,K164=INT(K164)),FALSE)),F164*H164*K164,"")</f>
        <v/>
      </c>
      <c r="M164" s="54" t="str">
        <f>IF(L164="",IF(D164="","","À coter"),IF(OR(F164&gt;=p_gmin,L164&gt;=p_ipr_crit),"Critique",IF(L164&gt;=p_ipr_act,"Élevée",IF(L164&gt;=p_ipr_watch,"Moyenne","Faible"))))</f>
        <v/>
      </c>
      <c r="N164" s="54" t="str">
        <f>IF(OR(M164="",M164="À coter"),"",IF(OR(M164="Critique",M164="Élevée"),"Oui","Non"))</f>
        <v/>
      </c>
      <c r="O164" s="51" t="n"/>
      <c r="P164" s="51" t="n"/>
      <c r="Q164" s="55" t="n"/>
      <c r="R164" s="50" t="n"/>
      <c r="S164" s="55" t="n"/>
      <c r="T164" s="56" t="n"/>
      <c r="U164" s="52" t="n"/>
      <c r="V164" s="52" t="n"/>
      <c r="W164" s="52" t="n"/>
      <c r="X164" s="53" t="str">
        <f>IF(AND(L164&lt;&gt;"",IF(ISNUMBER(U164),AND(U164&gt;=1,U164&lt;=10,U164=INT(U164)),FALSE),IF(ISNUMBER(V164),AND(V164&gt;=1,V164&lt;=10,V164=INT(V164)),FALSE),IF(ISNUMBER(W164),AND(W164&gt;=1,W164&lt;=10,W164=INT(W164)),FALSE)),U164*V164*W164,"")</f>
        <v/>
      </c>
      <c r="Y164" s="54" t="str">
        <f>IF(X164="","",IF(OR(U164&gt;=p_gmin,X164&gt;=p_ipr_crit),"Critique",IF(X164&gt;=p_ipr_act,"Élevée",IF(X164&gt;=p_ipr_watch,"Moyenne","Faible"))))</f>
        <v/>
      </c>
      <c r="Z164" s="57" t="str">
        <f>IF(X164="","",(L164-X164)/L164)</f>
        <v/>
      </c>
      <c r="AA164" s="54" t="str">
        <f>IF(AND(D164="",O164=""),"",IF(O164="",IF(N164="Oui","Action à définir",IF(N164="Non","Sans action","")),IF(R164="Annulée","Annulée",IF(R164="Réalisée",IF(X164="","À réévaluer","Réalisée"),IF(N(Q164)=0,"Échéance manquante",IF(Q164&lt;p_today,"En retard",IF(Q164-p_today&lt;=p_alert,"Échéance proche","Dans les délais")))))))</f>
        <v/>
      </c>
      <c r="AB164" s="58" t="str">
        <f>IF(AND(A164="",B164="",D164="",F164="",H164="",K164="",O164=""),"",IF(D164="","Mode de défaillance manquant",IF(AND(A164&lt;&gt;"",COUNTIF(am_num,A164)&gt;1),"N° en double",IF(F164="","Gravité G manquante",IF(NOT(IF(ISNUMBER(F164),AND(F164&gt;=1,F164&lt;=10,F164=INT(F164)),FALSE)),"G : entier de 1 à 10",IF(H164="","Occurrence O manquante",IF(NOT(IF(ISNUMBER(H164),AND(H164&gt;=1,H164&lt;=10,H164=INT(H164)),FALSE)),"O : entier de 1 à 10",IF(K164="","Détection D manquante",IF(NOT(IF(ISNUMBER(K164),AND(K164&gt;=1,K164&lt;=10,K164=INT(K164)),FALSE)),"D : entier de 1 à 10",IF(G164="","Cause manquante",IF(AND(O164&lt;&gt;"",P164=""),"Responsable manquant",IF(AND(R164&lt;&gt;"",O164=""),"Statut sans action",IF(AND(R164="Réalisée",N(S164)=0),"Date de réalisation manquante",IF(AND(T164&lt;&gt;"",IF(ISNUMBER(T164),T164&lt;0,TRUE)),"Coût invalide",IF(AND(COUNTBLANK(U164:W164)&gt;0,COUNTBLANK(U164:W164)&lt;3),"Cotation après action incomplète",IF(AND(COUNTBLANK(U164:W164)=0,X164=""),"G', O', D' : entiers de 1 à 10",IF(AND(X164&lt;&gt;"",X164&gt;L164),"IPR après action plus élevé","OK")))))))))))))))))</f>
        <v/>
      </c>
      <c r="AC164" s="59" t="str">
        <f>IF(OR(AA164="En retard",AA164="Échéance proche",AA164="Dans les délais",AA164="Échéance manquante",AA164="Action à définir",AA164="À réévaluer"),IF(OR(plan_who="",P164=plan_who),IF(N(Q164)&gt;0,Q164,99999)*1000+ROW(),""),"")</f>
        <v/>
      </c>
      <c r="AD164" s="59" t="str">
        <f>IF(L164="","",L164*1000+1000-ROW())</f>
        <v/>
      </c>
      <c r="AE164" s="59" t="str">
        <f>IF(IF(AA164="En retard",1,IF(AA164="Action à définir",2,IF(AA164="Échéance manquante",3,IF(AA164="Échéance proche",4,IF(AA164="À réévaluer",5,0)))))=0,"",IF(AA164="En retard",1,IF(AA164="Action à définir",2,IF(AA164="Échéance manquante",3,IF(AA164="Échéance proche",4,IF(AA164="À réévaluer",5,0)))))*100000000+IF(N(Q164)&gt;0,Q164,99999)*1000+ROW())</f>
        <v/>
      </c>
      <c r="AF164" s="59" t="str">
        <f>IF(X164&lt;&gt;"",X164,L164)</f>
        <v/>
      </c>
      <c r="AG164" s="59" t="str">
        <f>IF(X164&lt;&gt;"",Y164,IF(L164&lt;&gt;"",M164,""))</f>
        <v/>
      </c>
      <c r="AH164" s="59" t="str">
        <f>IF(L164="","",IF(X164&lt;&gt;"",U164,F164))</f>
        <v/>
      </c>
      <c r="AI164" s="59" t="str">
        <f>IF(L164="","",IF(X164&lt;&gt;"",V164,H164))</f>
        <v/>
      </c>
    </row>
    <row r="165" ht="30" customHeight="1">
      <c r="A165" s="50" t="n"/>
      <c r="B165" s="51" t="n"/>
      <c r="C165" s="51" t="n"/>
      <c r="D165" s="51" t="n"/>
      <c r="E165" s="51" t="n"/>
      <c r="F165" s="52" t="n"/>
      <c r="G165" s="51" t="n"/>
      <c r="H165" s="52" t="n"/>
      <c r="I165" s="51" t="n"/>
      <c r="J165" s="51" t="n"/>
      <c r="K165" s="52" t="n"/>
      <c r="L165" s="53" t="str">
        <f>IF(AND(IF(ISNUMBER(F165),AND(F165&gt;=1,F165&lt;=10,F165=INT(F165)),FALSE),IF(ISNUMBER(H165),AND(H165&gt;=1,H165&lt;=10,H165=INT(H165)),FALSE),IF(ISNUMBER(K165),AND(K165&gt;=1,K165&lt;=10,K165=INT(K165)),FALSE)),F165*H165*K165,"")</f>
        <v/>
      </c>
      <c r="M165" s="54" t="str">
        <f>IF(L165="",IF(D165="","","À coter"),IF(OR(F165&gt;=p_gmin,L165&gt;=p_ipr_crit),"Critique",IF(L165&gt;=p_ipr_act,"Élevée",IF(L165&gt;=p_ipr_watch,"Moyenne","Faible"))))</f>
        <v/>
      </c>
      <c r="N165" s="54" t="str">
        <f>IF(OR(M165="",M165="À coter"),"",IF(OR(M165="Critique",M165="Élevée"),"Oui","Non"))</f>
        <v/>
      </c>
      <c r="O165" s="51" t="n"/>
      <c r="P165" s="51" t="n"/>
      <c r="Q165" s="55" t="n"/>
      <c r="R165" s="50" t="n"/>
      <c r="S165" s="55" t="n"/>
      <c r="T165" s="56" t="n"/>
      <c r="U165" s="52" t="n"/>
      <c r="V165" s="52" t="n"/>
      <c r="W165" s="52" t="n"/>
      <c r="X165" s="53" t="str">
        <f>IF(AND(L165&lt;&gt;"",IF(ISNUMBER(U165),AND(U165&gt;=1,U165&lt;=10,U165=INT(U165)),FALSE),IF(ISNUMBER(V165),AND(V165&gt;=1,V165&lt;=10,V165=INT(V165)),FALSE),IF(ISNUMBER(W165),AND(W165&gt;=1,W165&lt;=10,W165=INT(W165)),FALSE)),U165*V165*W165,"")</f>
        <v/>
      </c>
      <c r="Y165" s="54" t="str">
        <f>IF(X165="","",IF(OR(U165&gt;=p_gmin,X165&gt;=p_ipr_crit),"Critique",IF(X165&gt;=p_ipr_act,"Élevée",IF(X165&gt;=p_ipr_watch,"Moyenne","Faible"))))</f>
        <v/>
      </c>
      <c r="Z165" s="57" t="str">
        <f>IF(X165="","",(L165-X165)/L165)</f>
        <v/>
      </c>
      <c r="AA165" s="54" t="str">
        <f>IF(AND(D165="",O165=""),"",IF(O165="",IF(N165="Oui","Action à définir",IF(N165="Non","Sans action","")),IF(R165="Annulée","Annulée",IF(R165="Réalisée",IF(X165="","À réévaluer","Réalisée"),IF(N(Q165)=0,"Échéance manquante",IF(Q165&lt;p_today,"En retard",IF(Q165-p_today&lt;=p_alert,"Échéance proche","Dans les délais")))))))</f>
        <v/>
      </c>
      <c r="AB165" s="58" t="str">
        <f>IF(AND(A165="",B165="",D165="",F165="",H165="",K165="",O165=""),"",IF(D165="","Mode de défaillance manquant",IF(AND(A165&lt;&gt;"",COUNTIF(am_num,A165)&gt;1),"N° en double",IF(F165="","Gravité G manquante",IF(NOT(IF(ISNUMBER(F165),AND(F165&gt;=1,F165&lt;=10,F165=INT(F165)),FALSE)),"G : entier de 1 à 10",IF(H165="","Occurrence O manquante",IF(NOT(IF(ISNUMBER(H165),AND(H165&gt;=1,H165&lt;=10,H165=INT(H165)),FALSE)),"O : entier de 1 à 10",IF(K165="","Détection D manquante",IF(NOT(IF(ISNUMBER(K165),AND(K165&gt;=1,K165&lt;=10,K165=INT(K165)),FALSE)),"D : entier de 1 à 10",IF(G165="","Cause manquante",IF(AND(O165&lt;&gt;"",P165=""),"Responsable manquant",IF(AND(R165&lt;&gt;"",O165=""),"Statut sans action",IF(AND(R165="Réalisée",N(S165)=0),"Date de réalisation manquante",IF(AND(T165&lt;&gt;"",IF(ISNUMBER(T165),T165&lt;0,TRUE)),"Coût invalide",IF(AND(COUNTBLANK(U165:W165)&gt;0,COUNTBLANK(U165:W165)&lt;3),"Cotation après action incomplète",IF(AND(COUNTBLANK(U165:W165)=0,X165=""),"G', O', D' : entiers de 1 à 10",IF(AND(X165&lt;&gt;"",X165&gt;L165),"IPR après action plus élevé","OK")))))))))))))))))</f>
        <v/>
      </c>
      <c r="AC165" s="59" t="str">
        <f>IF(OR(AA165="En retard",AA165="Échéance proche",AA165="Dans les délais",AA165="Échéance manquante",AA165="Action à définir",AA165="À réévaluer"),IF(OR(plan_who="",P165=plan_who),IF(N(Q165)&gt;0,Q165,99999)*1000+ROW(),""),"")</f>
        <v/>
      </c>
      <c r="AD165" s="59" t="str">
        <f>IF(L165="","",L165*1000+1000-ROW())</f>
        <v/>
      </c>
      <c r="AE165" s="59" t="str">
        <f>IF(IF(AA165="En retard",1,IF(AA165="Action à définir",2,IF(AA165="Échéance manquante",3,IF(AA165="Échéance proche",4,IF(AA165="À réévaluer",5,0)))))=0,"",IF(AA165="En retard",1,IF(AA165="Action à définir",2,IF(AA165="Échéance manquante",3,IF(AA165="Échéance proche",4,IF(AA165="À réévaluer",5,0)))))*100000000+IF(N(Q165)&gt;0,Q165,99999)*1000+ROW())</f>
        <v/>
      </c>
      <c r="AF165" s="59" t="str">
        <f>IF(X165&lt;&gt;"",X165,L165)</f>
        <v/>
      </c>
      <c r="AG165" s="59" t="str">
        <f>IF(X165&lt;&gt;"",Y165,IF(L165&lt;&gt;"",M165,""))</f>
        <v/>
      </c>
      <c r="AH165" s="59" t="str">
        <f>IF(L165="","",IF(X165&lt;&gt;"",U165,F165))</f>
        <v/>
      </c>
      <c r="AI165" s="59" t="str">
        <f>IF(L165="","",IF(X165&lt;&gt;"",V165,H165))</f>
        <v/>
      </c>
    </row>
    <row r="166" ht="30" customHeight="1">
      <c r="A166" s="50" t="n"/>
      <c r="B166" s="51" t="n"/>
      <c r="C166" s="51" t="n"/>
      <c r="D166" s="51" t="n"/>
      <c r="E166" s="51" t="n"/>
      <c r="F166" s="52" t="n"/>
      <c r="G166" s="51" t="n"/>
      <c r="H166" s="52" t="n"/>
      <c r="I166" s="51" t="n"/>
      <c r="J166" s="51" t="n"/>
      <c r="K166" s="52" t="n"/>
      <c r="L166" s="53" t="str">
        <f>IF(AND(IF(ISNUMBER(F166),AND(F166&gt;=1,F166&lt;=10,F166=INT(F166)),FALSE),IF(ISNUMBER(H166),AND(H166&gt;=1,H166&lt;=10,H166=INT(H166)),FALSE),IF(ISNUMBER(K166),AND(K166&gt;=1,K166&lt;=10,K166=INT(K166)),FALSE)),F166*H166*K166,"")</f>
        <v/>
      </c>
      <c r="M166" s="54" t="str">
        <f>IF(L166="",IF(D166="","","À coter"),IF(OR(F166&gt;=p_gmin,L166&gt;=p_ipr_crit),"Critique",IF(L166&gt;=p_ipr_act,"Élevée",IF(L166&gt;=p_ipr_watch,"Moyenne","Faible"))))</f>
        <v/>
      </c>
      <c r="N166" s="54" t="str">
        <f>IF(OR(M166="",M166="À coter"),"",IF(OR(M166="Critique",M166="Élevée"),"Oui","Non"))</f>
        <v/>
      </c>
      <c r="O166" s="51" t="n"/>
      <c r="P166" s="51" t="n"/>
      <c r="Q166" s="55" t="n"/>
      <c r="R166" s="50" t="n"/>
      <c r="S166" s="55" t="n"/>
      <c r="T166" s="56" t="n"/>
      <c r="U166" s="52" t="n"/>
      <c r="V166" s="52" t="n"/>
      <c r="W166" s="52" t="n"/>
      <c r="X166" s="53" t="str">
        <f>IF(AND(L166&lt;&gt;"",IF(ISNUMBER(U166),AND(U166&gt;=1,U166&lt;=10,U166=INT(U166)),FALSE),IF(ISNUMBER(V166),AND(V166&gt;=1,V166&lt;=10,V166=INT(V166)),FALSE),IF(ISNUMBER(W166),AND(W166&gt;=1,W166&lt;=10,W166=INT(W166)),FALSE)),U166*V166*W166,"")</f>
        <v/>
      </c>
      <c r="Y166" s="54" t="str">
        <f>IF(X166="","",IF(OR(U166&gt;=p_gmin,X166&gt;=p_ipr_crit),"Critique",IF(X166&gt;=p_ipr_act,"Élevée",IF(X166&gt;=p_ipr_watch,"Moyenne","Faible"))))</f>
        <v/>
      </c>
      <c r="Z166" s="57" t="str">
        <f>IF(X166="","",(L166-X166)/L166)</f>
        <v/>
      </c>
      <c r="AA166" s="54" t="str">
        <f>IF(AND(D166="",O166=""),"",IF(O166="",IF(N166="Oui","Action à définir",IF(N166="Non","Sans action","")),IF(R166="Annulée","Annulée",IF(R166="Réalisée",IF(X166="","À réévaluer","Réalisée"),IF(N(Q166)=0,"Échéance manquante",IF(Q166&lt;p_today,"En retard",IF(Q166-p_today&lt;=p_alert,"Échéance proche","Dans les délais")))))))</f>
        <v/>
      </c>
      <c r="AB166" s="58" t="str">
        <f>IF(AND(A166="",B166="",D166="",F166="",H166="",K166="",O166=""),"",IF(D166="","Mode de défaillance manquant",IF(AND(A166&lt;&gt;"",COUNTIF(am_num,A166)&gt;1),"N° en double",IF(F166="","Gravité G manquante",IF(NOT(IF(ISNUMBER(F166),AND(F166&gt;=1,F166&lt;=10,F166=INT(F166)),FALSE)),"G : entier de 1 à 10",IF(H166="","Occurrence O manquante",IF(NOT(IF(ISNUMBER(H166),AND(H166&gt;=1,H166&lt;=10,H166=INT(H166)),FALSE)),"O : entier de 1 à 10",IF(K166="","Détection D manquante",IF(NOT(IF(ISNUMBER(K166),AND(K166&gt;=1,K166&lt;=10,K166=INT(K166)),FALSE)),"D : entier de 1 à 10",IF(G166="","Cause manquante",IF(AND(O166&lt;&gt;"",P166=""),"Responsable manquant",IF(AND(R166&lt;&gt;"",O166=""),"Statut sans action",IF(AND(R166="Réalisée",N(S166)=0),"Date de réalisation manquante",IF(AND(T166&lt;&gt;"",IF(ISNUMBER(T166),T166&lt;0,TRUE)),"Coût invalide",IF(AND(COUNTBLANK(U166:W166)&gt;0,COUNTBLANK(U166:W166)&lt;3),"Cotation après action incomplète",IF(AND(COUNTBLANK(U166:W166)=0,X166=""),"G', O', D' : entiers de 1 à 10",IF(AND(X166&lt;&gt;"",X166&gt;L166),"IPR après action plus élevé","OK")))))))))))))))))</f>
        <v/>
      </c>
      <c r="AC166" s="59" t="str">
        <f>IF(OR(AA166="En retard",AA166="Échéance proche",AA166="Dans les délais",AA166="Échéance manquante",AA166="Action à définir",AA166="À réévaluer"),IF(OR(plan_who="",P166=plan_who),IF(N(Q166)&gt;0,Q166,99999)*1000+ROW(),""),"")</f>
        <v/>
      </c>
      <c r="AD166" s="59" t="str">
        <f>IF(L166="","",L166*1000+1000-ROW())</f>
        <v/>
      </c>
      <c r="AE166" s="59" t="str">
        <f>IF(IF(AA166="En retard",1,IF(AA166="Action à définir",2,IF(AA166="Échéance manquante",3,IF(AA166="Échéance proche",4,IF(AA166="À réévaluer",5,0)))))=0,"",IF(AA166="En retard",1,IF(AA166="Action à définir",2,IF(AA166="Échéance manquante",3,IF(AA166="Échéance proche",4,IF(AA166="À réévaluer",5,0)))))*100000000+IF(N(Q166)&gt;0,Q166,99999)*1000+ROW())</f>
        <v/>
      </c>
      <c r="AF166" s="59" t="str">
        <f>IF(X166&lt;&gt;"",X166,L166)</f>
        <v/>
      </c>
      <c r="AG166" s="59" t="str">
        <f>IF(X166&lt;&gt;"",Y166,IF(L166&lt;&gt;"",M166,""))</f>
        <v/>
      </c>
      <c r="AH166" s="59" t="str">
        <f>IF(L166="","",IF(X166&lt;&gt;"",U166,F166))</f>
        <v/>
      </c>
      <c r="AI166" s="59" t="str">
        <f>IF(L166="","",IF(X166&lt;&gt;"",V166,H166))</f>
        <v/>
      </c>
    </row>
    <row r="167" ht="30" customHeight="1">
      <c r="A167" s="50" t="n"/>
      <c r="B167" s="51" t="n"/>
      <c r="C167" s="51" t="n"/>
      <c r="D167" s="51" t="n"/>
      <c r="E167" s="51" t="n"/>
      <c r="F167" s="52" t="n"/>
      <c r="G167" s="51" t="n"/>
      <c r="H167" s="52" t="n"/>
      <c r="I167" s="51" t="n"/>
      <c r="J167" s="51" t="n"/>
      <c r="K167" s="52" t="n"/>
      <c r="L167" s="53" t="str">
        <f>IF(AND(IF(ISNUMBER(F167),AND(F167&gt;=1,F167&lt;=10,F167=INT(F167)),FALSE),IF(ISNUMBER(H167),AND(H167&gt;=1,H167&lt;=10,H167=INT(H167)),FALSE),IF(ISNUMBER(K167),AND(K167&gt;=1,K167&lt;=10,K167=INT(K167)),FALSE)),F167*H167*K167,"")</f>
        <v/>
      </c>
      <c r="M167" s="54" t="str">
        <f>IF(L167="",IF(D167="","","À coter"),IF(OR(F167&gt;=p_gmin,L167&gt;=p_ipr_crit),"Critique",IF(L167&gt;=p_ipr_act,"Élevée",IF(L167&gt;=p_ipr_watch,"Moyenne","Faible"))))</f>
        <v/>
      </c>
      <c r="N167" s="54" t="str">
        <f>IF(OR(M167="",M167="À coter"),"",IF(OR(M167="Critique",M167="Élevée"),"Oui","Non"))</f>
        <v/>
      </c>
      <c r="O167" s="51" t="n"/>
      <c r="P167" s="51" t="n"/>
      <c r="Q167" s="55" t="n"/>
      <c r="R167" s="50" t="n"/>
      <c r="S167" s="55" t="n"/>
      <c r="T167" s="56" t="n"/>
      <c r="U167" s="52" t="n"/>
      <c r="V167" s="52" t="n"/>
      <c r="W167" s="52" t="n"/>
      <c r="X167" s="53" t="str">
        <f>IF(AND(L167&lt;&gt;"",IF(ISNUMBER(U167),AND(U167&gt;=1,U167&lt;=10,U167=INT(U167)),FALSE),IF(ISNUMBER(V167),AND(V167&gt;=1,V167&lt;=10,V167=INT(V167)),FALSE),IF(ISNUMBER(W167),AND(W167&gt;=1,W167&lt;=10,W167=INT(W167)),FALSE)),U167*V167*W167,"")</f>
        <v/>
      </c>
      <c r="Y167" s="54" t="str">
        <f>IF(X167="","",IF(OR(U167&gt;=p_gmin,X167&gt;=p_ipr_crit),"Critique",IF(X167&gt;=p_ipr_act,"Élevée",IF(X167&gt;=p_ipr_watch,"Moyenne","Faible"))))</f>
        <v/>
      </c>
      <c r="Z167" s="57" t="str">
        <f>IF(X167="","",(L167-X167)/L167)</f>
        <v/>
      </c>
      <c r="AA167" s="54" t="str">
        <f>IF(AND(D167="",O167=""),"",IF(O167="",IF(N167="Oui","Action à définir",IF(N167="Non","Sans action","")),IF(R167="Annulée","Annulée",IF(R167="Réalisée",IF(X167="","À réévaluer","Réalisée"),IF(N(Q167)=0,"Échéance manquante",IF(Q167&lt;p_today,"En retard",IF(Q167-p_today&lt;=p_alert,"Échéance proche","Dans les délais")))))))</f>
        <v/>
      </c>
      <c r="AB167" s="58" t="str">
        <f>IF(AND(A167="",B167="",D167="",F167="",H167="",K167="",O167=""),"",IF(D167="","Mode de défaillance manquant",IF(AND(A167&lt;&gt;"",COUNTIF(am_num,A167)&gt;1),"N° en double",IF(F167="","Gravité G manquante",IF(NOT(IF(ISNUMBER(F167),AND(F167&gt;=1,F167&lt;=10,F167=INT(F167)),FALSE)),"G : entier de 1 à 10",IF(H167="","Occurrence O manquante",IF(NOT(IF(ISNUMBER(H167),AND(H167&gt;=1,H167&lt;=10,H167=INT(H167)),FALSE)),"O : entier de 1 à 10",IF(K167="","Détection D manquante",IF(NOT(IF(ISNUMBER(K167),AND(K167&gt;=1,K167&lt;=10,K167=INT(K167)),FALSE)),"D : entier de 1 à 10",IF(G167="","Cause manquante",IF(AND(O167&lt;&gt;"",P167=""),"Responsable manquant",IF(AND(R167&lt;&gt;"",O167=""),"Statut sans action",IF(AND(R167="Réalisée",N(S167)=0),"Date de réalisation manquante",IF(AND(T167&lt;&gt;"",IF(ISNUMBER(T167),T167&lt;0,TRUE)),"Coût invalide",IF(AND(COUNTBLANK(U167:W167)&gt;0,COUNTBLANK(U167:W167)&lt;3),"Cotation après action incomplète",IF(AND(COUNTBLANK(U167:W167)=0,X167=""),"G', O', D' : entiers de 1 à 10",IF(AND(X167&lt;&gt;"",X167&gt;L167),"IPR après action plus élevé","OK")))))))))))))))))</f>
        <v/>
      </c>
      <c r="AC167" s="59" t="str">
        <f>IF(OR(AA167="En retard",AA167="Échéance proche",AA167="Dans les délais",AA167="Échéance manquante",AA167="Action à définir",AA167="À réévaluer"),IF(OR(plan_who="",P167=plan_who),IF(N(Q167)&gt;0,Q167,99999)*1000+ROW(),""),"")</f>
        <v/>
      </c>
      <c r="AD167" s="59" t="str">
        <f>IF(L167="","",L167*1000+1000-ROW())</f>
        <v/>
      </c>
      <c r="AE167" s="59" t="str">
        <f>IF(IF(AA167="En retard",1,IF(AA167="Action à définir",2,IF(AA167="Échéance manquante",3,IF(AA167="Échéance proche",4,IF(AA167="À réévaluer",5,0)))))=0,"",IF(AA167="En retard",1,IF(AA167="Action à définir",2,IF(AA167="Échéance manquante",3,IF(AA167="Échéance proche",4,IF(AA167="À réévaluer",5,0)))))*100000000+IF(N(Q167)&gt;0,Q167,99999)*1000+ROW())</f>
        <v/>
      </c>
      <c r="AF167" s="59" t="str">
        <f>IF(X167&lt;&gt;"",X167,L167)</f>
        <v/>
      </c>
      <c r="AG167" s="59" t="str">
        <f>IF(X167&lt;&gt;"",Y167,IF(L167&lt;&gt;"",M167,""))</f>
        <v/>
      </c>
      <c r="AH167" s="59" t="str">
        <f>IF(L167="","",IF(X167&lt;&gt;"",U167,F167))</f>
        <v/>
      </c>
      <c r="AI167" s="59" t="str">
        <f>IF(L167="","",IF(X167&lt;&gt;"",V167,H167))</f>
        <v/>
      </c>
    </row>
    <row r="168" ht="30" customHeight="1">
      <c r="A168" s="50" t="n"/>
      <c r="B168" s="51" t="n"/>
      <c r="C168" s="51" t="n"/>
      <c r="D168" s="51" t="n"/>
      <c r="E168" s="51" t="n"/>
      <c r="F168" s="52" t="n"/>
      <c r="G168" s="51" t="n"/>
      <c r="H168" s="52" t="n"/>
      <c r="I168" s="51" t="n"/>
      <c r="J168" s="51" t="n"/>
      <c r="K168" s="52" t="n"/>
      <c r="L168" s="53" t="str">
        <f>IF(AND(IF(ISNUMBER(F168),AND(F168&gt;=1,F168&lt;=10,F168=INT(F168)),FALSE),IF(ISNUMBER(H168),AND(H168&gt;=1,H168&lt;=10,H168=INT(H168)),FALSE),IF(ISNUMBER(K168),AND(K168&gt;=1,K168&lt;=10,K168=INT(K168)),FALSE)),F168*H168*K168,"")</f>
        <v/>
      </c>
      <c r="M168" s="54" t="str">
        <f>IF(L168="",IF(D168="","","À coter"),IF(OR(F168&gt;=p_gmin,L168&gt;=p_ipr_crit),"Critique",IF(L168&gt;=p_ipr_act,"Élevée",IF(L168&gt;=p_ipr_watch,"Moyenne","Faible"))))</f>
        <v/>
      </c>
      <c r="N168" s="54" t="str">
        <f>IF(OR(M168="",M168="À coter"),"",IF(OR(M168="Critique",M168="Élevée"),"Oui","Non"))</f>
        <v/>
      </c>
      <c r="O168" s="51" t="n"/>
      <c r="P168" s="51" t="n"/>
      <c r="Q168" s="55" t="n"/>
      <c r="R168" s="50" t="n"/>
      <c r="S168" s="55" t="n"/>
      <c r="T168" s="56" t="n"/>
      <c r="U168" s="52" t="n"/>
      <c r="V168" s="52" t="n"/>
      <c r="W168" s="52" t="n"/>
      <c r="X168" s="53" t="str">
        <f>IF(AND(L168&lt;&gt;"",IF(ISNUMBER(U168),AND(U168&gt;=1,U168&lt;=10,U168=INT(U168)),FALSE),IF(ISNUMBER(V168),AND(V168&gt;=1,V168&lt;=10,V168=INT(V168)),FALSE),IF(ISNUMBER(W168),AND(W168&gt;=1,W168&lt;=10,W168=INT(W168)),FALSE)),U168*V168*W168,"")</f>
        <v/>
      </c>
      <c r="Y168" s="54" t="str">
        <f>IF(X168="","",IF(OR(U168&gt;=p_gmin,X168&gt;=p_ipr_crit),"Critique",IF(X168&gt;=p_ipr_act,"Élevée",IF(X168&gt;=p_ipr_watch,"Moyenne","Faible"))))</f>
        <v/>
      </c>
      <c r="Z168" s="57" t="str">
        <f>IF(X168="","",(L168-X168)/L168)</f>
        <v/>
      </c>
      <c r="AA168" s="54" t="str">
        <f>IF(AND(D168="",O168=""),"",IF(O168="",IF(N168="Oui","Action à définir",IF(N168="Non","Sans action","")),IF(R168="Annulée","Annulée",IF(R168="Réalisée",IF(X168="","À réévaluer","Réalisée"),IF(N(Q168)=0,"Échéance manquante",IF(Q168&lt;p_today,"En retard",IF(Q168-p_today&lt;=p_alert,"Échéance proche","Dans les délais")))))))</f>
        <v/>
      </c>
      <c r="AB168" s="58" t="str">
        <f>IF(AND(A168="",B168="",D168="",F168="",H168="",K168="",O168=""),"",IF(D168="","Mode de défaillance manquant",IF(AND(A168&lt;&gt;"",COUNTIF(am_num,A168)&gt;1),"N° en double",IF(F168="","Gravité G manquante",IF(NOT(IF(ISNUMBER(F168),AND(F168&gt;=1,F168&lt;=10,F168=INT(F168)),FALSE)),"G : entier de 1 à 10",IF(H168="","Occurrence O manquante",IF(NOT(IF(ISNUMBER(H168),AND(H168&gt;=1,H168&lt;=10,H168=INT(H168)),FALSE)),"O : entier de 1 à 10",IF(K168="","Détection D manquante",IF(NOT(IF(ISNUMBER(K168),AND(K168&gt;=1,K168&lt;=10,K168=INT(K168)),FALSE)),"D : entier de 1 à 10",IF(G168="","Cause manquante",IF(AND(O168&lt;&gt;"",P168=""),"Responsable manquant",IF(AND(R168&lt;&gt;"",O168=""),"Statut sans action",IF(AND(R168="Réalisée",N(S168)=0),"Date de réalisation manquante",IF(AND(T168&lt;&gt;"",IF(ISNUMBER(T168),T168&lt;0,TRUE)),"Coût invalide",IF(AND(COUNTBLANK(U168:W168)&gt;0,COUNTBLANK(U168:W168)&lt;3),"Cotation après action incomplète",IF(AND(COUNTBLANK(U168:W168)=0,X168=""),"G', O', D' : entiers de 1 à 10",IF(AND(X168&lt;&gt;"",X168&gt;L168),"IPR après action plus élevé","OK")))))))))))))))))</f>
        <v/>
      </c>
      <c r="AC168" s="59" t="str">
        <f>IF(OR(AA168="En retard",AA168="Échéance proche",AA168="Dans les délais",AA168="Échéance manquante",AA168="Action à définir",AA168="À réévaluer"),IF(OR(plan_who="",P168=plan_who),IF(N(Q168)&gt;0,Q168,99999)*1000+ROW(),""),"")</f>
        <v/>
      </c>
      <c r="AD168" s="59" t="str">
        <f>IF(L168="","",L168*1000+1000-ROW())</f>
        <v/>
      </c>
      <c r="AE168" s="59" t="str">
        <f>IF(IF(AA168="En retard",1,IF(AA168="Action à définir",2,IF(AA168="Échéance manquante",3,IF(AA168="Échéance proche",4,IF(AA168="À réévaluer",5,0)))))=0,"",IF(AA168="En retard",1,IF(AA168="Action à définir",2,IF(AA168="Échéance manquante",3,IF(AA168="Échéance proche",4,IF(AA168="À réévaluer",5,0)))))*100000000+IF(N(Q168)&gt;0,Q168,99999)*1000+ROW())</f>
        <v/>
      </c>
      <c r="AF168" s="59" t="str">
        <f>IF(X168&lt;&gt;"",X168,L168)</f>
        <v/>
      </c>
      <c r="AG168" s="59" t="str">
        <f>IF(X168&lt;&gt;"",Y168,IF(L168&lt;&gt;"",M168,""))</f>
        <v/>
      </c>
      <c r="AH168" s="59" t="str">
        <f>IF(L168="","",IF(X168&lt;&gt;"",U168,F168))</f>
        <v/>
      </c>
      <c r="AI168" s="59" t="str">
        <f>IF(L168="","",IF(X168&lt;&gt;"",V168,H168))</f>
        <v/>
      </c>
    </row>
    <row r="169" ht="30" customHeight="1">
      <c r="A169" s="50" t="n"/>
      <c r="B169" s="51" t="n"/>
      <c r="C169" s="51" t="n"/>
      <c r="D169" s="51" t="n"/>
      <c r="E169" s="51" t="n"/>
      <c r="F169" s="52" t="n"/>
      <c r="G169" s="51" t="n"/>
      <c r="H169" s="52" t="n"/>
      <c r="I169" s="51" t="n"/>
      <c r="J169" s="51" t="n"/>
      <c r="K169" s="52" t="n"/>
      <c r="L169" s="53" t="str">
        <f>IF(AND(IF(ISNUMBER(F169),AND(F169&gt;=1,F169&lt;=10,F169=INT(F169)),FALSE),IF(ISNUMBER(H169),AND(H169&gt;=1,H169&lt;=10,H169=INT(H169)),FALSE),IF(ISNUMBER(K169),AND(K169&gt;=1,K169&lt;=10,K169=INT(K169)),FALSE)),F169*H169*K169,"")</f>
        <v/>
      </c>
      <c r="M169" s="54" t="str">
        <f>IF(L169="",IF(D169="","","À coter"),IF(OR(F169&gt;=p_gmin,L169&gt;=p_ipr_crit),"Critique",IF(L169&gt;=p_ipr_act,"Élevée",IF(L169&gt;=p_ipr_watch,"Moyenne","Faible"))))</f>
        <v/>
      </c>
      <c r="N169" s="54" t="str">
        <f>IF(OR(M169="",M169="À coter"),"",IF(OR(M169="Critique",M169="Élevée"),"Oui","Non"))</f>
        <v/>
      </c>
      <c r="O169" s="51" t="n"/>
      <c r="P169" s="51" t="n"/>
      <c r="Q169" s="55" t="n"/>
      <c r="R169" s="50" t="n"/>
      <c r="S169" s="55" t="n"/>
      <c r="T169" s="56" t="n"/>
      <c r="U169" s="52" t="n"/>
      <c r="V169" s="52" t="n"/>
      <c r="W169" s="52" t="n"/>
      <c r="X169" s="53" t="str">
        <f>IF(AND(L169&lt;&gt;"",IF(ISNUMBER(U169),AND(U169&gt;=1,U169&lt;=10,U169=INT(U169)),FALSE),IF(ISNUMBER(V169),AND(V169&gt;=1,V169&lt;=10,V169=INT(V169)),FALSE),IF(ISNUMBER(W169),AND(W169&gt;=1,W169&lt;=10,W169=INT(W169)),FALSE)),U169*V169*W169,"")</f>
        <v/>
      </c>
      <c r="Y169" s="54" t="str">
        <f>IF(X169="","",IF(OR(U169&gt;=p_gmin,X169&gt;=p_ipr_crit),"Critique",IF(X169&gt;=p_ipr_act,"Élevée",IF(X169&gt;=p_ipr_watch,"Moyenne","Faible"))))</f>
        <v/>
      </c>
      <c r="Z169" s="57" t="str">
        <f>IF(X169="","",(L169-X169)/L169)</f>
        <v/>
      </c>
      <c r="AA169" s="54" t="str">
        <f>IF(AND(D169="",O169=""),"",IF(O169="",IF(N169="Oui","Action à définir",IF(N169="Non","Sans action","")),IF(R169="Annulée","Annulée",IF(R169="Réalisée",IF(X169="","À réévaluer","Réalisée"),IF(N(Q169)=0,"Échéance manquante",IF(Q169&lt;p_today,"En retard",IF(Q169-p_today&lt;=p_alert,"Échéance proche","Dans les délais")))))))</f>
        <v/>
      </c>
      <c r="AB169" s="58" t="str">
        <f>IF(AND(A169="",B169="",D169="",F169="",H169="",K169="",O169=""),"",IF(D169="","Mode de défaillance manquant",IF(AND(A169&lt;&gt;"",COUNTIF(am_num,A169)&gt;1),"N° en double",IF(F169="","Gravité G manquante",IF(NOT(IF(ISNUMBER(F169),AND(F169&gt;=1,F169&lt;=10,F169=INT(F169)),FALSE)),"G : entier de 1 à 10",IF(H169="","Occurrence O manquante",IF(NOT(IF(ISNUMBER(H169),AND(H169&gt;=1,H169&lt;=10,H169=INT(H169)),FALSE)),"O : entier de 1 à 10",IF(K169="","Détection D manquante",IF(NOT(IF(ISNUMBER(K169),AND(K169&gt;=1,K169&lt;=10,K169=INT(K169)),FALSE)),"D : entier de 1 à 10",IF(G169="","Cause manquante",IF(AND(O169&lt;&gt;"",P169=""),"Responsable manquant",IF(AND(R169&lt;&gt;"",O169=""),"Statut sans action",IF(AND(R169="Réalisée",N(S169)=0),"Date de réalisation manquante",IF(AND(T169&lt;&gt;"",IF(ISNUMBER(T169),T169&lt;0,TRUE)),"Coût invalide",IF(AND(COUNTBLANK(U169:W169)&gt;0,COUNTBLANK(U169:W169)&lt;3),"Cotation après action incomplète",IF(AND(COUNTBLANK(U169:W169)=0,X169=""),"G', O', D' : entiers de 1 à 10",IF(AND(X169&lt;&gt;"",X169&gt;L169),"IPR après action plus élevé","OK")))))))))))))))))</f>
        <v/>
      </c>
      <c r="AC169" s="59" t="str">
        <f>IF(OR(AA169="En retard",AA169="Échéance proche",AA169="Dans les délais",AA169="Échéance manquante",AA169="Action à définir",AA169="À réévaluer"),IF(OR(plan_who="",P169=plan_who),IF(N(Q169)&gt;0,Q169,99999)*1000+ROW(),""),"")</f>
        <v/>
      </c>
      <c r="AD169" s="59" t="str">
        <f>IF(L169="","",L169*1000+1000-ROW())</f>
        <v/>
      </c>
      <c r="AE169" s="59" t="str">
        <f>IF(IF(AA169="En retard",1,IF(AA169="Action à définir",2,IF(AA169="Échéance manquante",3,IF(AA169="Échéance proche",4,IF(AA169="À réévaluer",5,0)))))=0,"",IF(AA169="En retard",1,IF(AA169="Action à définir",2,IF(AA169="Échéance manquante",3,IF(AA169="Échéance proche",4,IF(AA169="À réévaluer",5,0)))))*100000000+IF(N(Q169)&gt;0,Q169,99999)*1000+ROW())</f>
        <v/>
      </c>
      <c r="AF169" s="59" t="str">
        <f>IF(X169&lt;&gt;"",X169,L169)</f>
        <v/>
      </c>
      <c r="AG169" s="59" t="str">
        <f>IF(X169&lt;&gt;"",Y169,IF(L169&lt;&gt;"",M169,""))</f>
        <v/>
      </c>
      <c r="AH169" s="59" t="str">
        <f>IF(L169="","",IF(X169&lt;&gt;"",U169,F169))</f>
        <v/>
      </c>
      <c r="AI169" s="59" t="str">
        <f>IF(L169="","",IF(X169&lt;&gt;"",V169,H169))</f>
        <v/>
      </c>
    </row>
    <row r="170" ht="30" customHeight="1">
      <c r="A170" s="50" t="n"/>
      <c r="B170" s="51" t="n"/>
      <c r="C170" s="51" t="n"/>
      <c r="D170" s="51" t="n"/>
      <c r="E170" s="51" t="n"/>
      <c r="F170" s="52" t="n"/>
      <c r="G170" s="51" t="n"/>
      <c r="H170" s="52" t="n"/>
      <c r="I170" s="51" t="n"/>
      <c r="J170" s="51" t="n"/>
      <c r="K170" s="52" t="n"/>
      <c r="L170" s="53" t="str">
        <f>IF(AND(IF(ISNUMBER(F170),AND(F170&gt;=1,F170&lt;=10,F170=INT(F170)),FALSE),IF(ISNUMBER(H170),AND(H170&gt;=1,H170&lt;=10,H170=INT(H170)),FALSE),IF(ISNUMBER(K170),AND(K170&gt;=1,K170&lt;=10,K170=INT(K170)),FALSE)),F170*H170*K170,"")</f>
        <v/>
      </c>
      <c r="M170" s="54" t="str">
        <f>IF(L170="",IF(D170="","","À coter"),IF(OR(F170&gt;=p_gmin,L170&gt;=p_ipr_crit),"Critique",IF(L170&gt;=p_ipr_act,"Élevée",IF(L170&gt;=p_ipr_watch,"Moyenne","Faible"))))</f>
        <v/>
      </c>
      <c r="N170" s="54" t="str">
        <f>IF(OR(M170="",M170="À coter"),"",IF(OR(M170="Critique",M170="Élevée"),"Oui","Non"))</f>
        <v/>
      </c>
      <c r="O170" s="51" t="n"/>
      <c r="P170" s="51" t="n"/>
      <c r="Q170" s="55" t="n"/>
      <c r="R170" s="50" t="n"/>
      <c r="S170" s="55" t="n"/>
      <c r="T170" s="56" t="n"/>
      <c r="U170" s="52" t="n"/>
      <c r="V170" s="52" t="n"/>
      <c r="W170" s="52" t="n"/>
      <c r="X170" s="53" t="str">
        <f>IF(AND(L170&lt;&gt;"",IF(ISNUMBER(U170),AND(U170&gt;=1,U170&lt;=10,U170=INT(U170)),FALSE),IF(ISNUMBER(V170),AND(V170&gt;=1,V170&lt;=10,V170=INT(V170)),FALSE),IF(ISNUMBER(W170),AND(W170&gt;=1,W170&lt;=10,W170=INT(W170)),FALSE)),U170*V170*W170,"")</f>
        <v/>
      </c>
      <c r="Y170" s="54" t="str">
        <f>IF(X170="","",IF(OR(U170&gt;=p_gmin,X170&gt;=p_ipr_crit),"Critique",IF(X170&gt;=p_ipr_act,"Élevée",IF(X170&gt;=p_ipr_watch,"Moyenne","Faible"))))</f>
        <v/>
      </c>
      <c r="Z170" s="57" t="str">
        <f>IF(X170="","",(L170-X170)/L170)</f>
        <v/>
      </c>
      <c r="AA170" s="54" t="str">
        <f>IF(AND(D170="",O170=""),"",IF(O170="",IF(N170="Oui","Action à définir",IF(N170="Non","Sans action","")),IF(R170="Annulée","Annulée",IF(R170="Réalisée",IF(X170="","À réévaluer","Réalisée"),IF(N(Q170)=0,"Échéance manquante",IF(Q170&lt;p_today,"En retard",IF(Q170-p_today&lt;=p_alert,"Échéance proche","Dans les délais")))))))</f>
        <v/>
      </c>
      <c r="AB170" s="58" t="str">
        <f>IF(AND(A170="",B170="",D170="",F170="",H170="",K170="",O170=""),"",IF(D170="","Mode de défaillance manquant",IF(AND(A170&lt;&gt;"",COUNTIF(am_num,A170)&gt;1),"N° en double",IF(F170="","Gravité G manquante",IF(NOT(IF(ISNUMBER(F170),AND(F170&gt;=1,F170&lt;=10,F170=INT(F170)),FALSE)),"G : entier de 1 à 10",IF(H170="","Occurrence O manquante",IF(NOT(IF(ISNUMBER(H170),AND(H170&gt;=1,H170&lt;=10,H170=INT(H170)),FALSE)),"O : entier de 1 à 10",IF(K170="","Détection D manquante",IF(NOT(IF(ISNUMBER(K170),AND(K170&gt;=1,K170&lt;=10,K170=INT(K170)),FALSE)),"D : entier de 1 à 10",IF(G170="","Cause manquante",IF(AND(O170&lt;&gt;"",P170=""),"Responsable manquant",IF(AND(R170&lt;&gt;"",O170=""),"Statut sans action",IF(AND(R170="Réalisée",N(S170)=0),"Date de réalisation manquante",IF(AND(T170&lt;&gt;"",IF(ISNUMBER(T170),T170&lt;0,TRUE)),"Coût invalide",IF(AND(COUNTBLANK(U170:W170)&gt;0,COUNTBLANK(U170:W170)&lt;3),"Cotation après action incomplète",IF(AND(COUNTBLANK(U170:W170)=0,X170=""),"G', O', D' : entiers de 1 à 10",IF(AND(X170&lt;&gt;"",X170&gt;L170),"IPR après action plus élevé","OK")))))))))))))))))</f>
        <v/>
      </c>
      <c r="AC170" s="59" t="str">
        <f>IF(OR(AA170="En retard",AA170="Échéance proche",AA170="Dans les délais",AA170="Échéance manquante",AA170="Action à définir",AA170="À réévaluer"),IF(OR(plan_who="",P170=plan_who),IF(N(Q170)&gt;0,Q170,99999)*1000+ROW(),""),"")</f>
        <v/>
      </c>
      <c r="AD170" s="59" t="str">
        <f>IF(L170="","",L170*1000+1000-ROW())</f>
        <v/>
      </c>
      <c r="AE170" s="59" t="str">
        <f>IF(IF(AA170="En retard",1,IF(AA170="Action à définir",2,IF(AA170="Échéance manquante",3,IF(AA170="Échéance proche",4,IF(AA170="À réévaluer",5,0)))))=0,"",IF(AA170="En retard",1,IF(AA170="Action à définir",2,IF(AA170="Échéance manquante",3,IF(AA170="Échéance proche",4,IF(AA170="À réévaluer",5,0)))))*100000000+IF(N(Q170)&gt;0,Q170,99999)*1000+ROW())</f>
        <v/>
      </c>
      <c r="AF170" s="59" t="str">
        <f>IF(X170&lt;&gt;"",X170,L170)</f>
        <v/>
      </c>
      <c r="AG170" s="59" t="str">
        <f>IF(X170&lt;&gt;"",Y170,IF(L170&lt;&gt;"",M170,""))</f>
        <v/>
      </c>
      <c r="AH170" s="59" t="str">
        <f>IF(L170="","",IF(X170&lt;&gt;"",U170,F170))</f>
        <v/>
      </c>
      <c r="AI170" s="59" t="str">
        <f>IF(L170="","",IF(X170&lt;&gt;"",V170,H170))</f>
        <v/>
      </c>
    </row>
    <row r="171" ht="30" customHeight="1">
      <c r="A171" s="50" t="n"/>
      <c r="B171" s="51" t="n"/>
      <c r="C171" s="51" t="n"/>
      <c r="D171" s="51" t="n"/>
      <c r="E171" s="51" t="n"/>
      <c r="F171" s="52" t="n"/>
      <c r="G171" s="51" t="n"/>
      <c r="H171" s="52" t="n"/>
      <c r="I171" s="51" t="n"/>
      <c r="J171" s="51" t="n"/>
      <c r="K171" s="52" t="n"/>
      <c r="L171" s="53" t="str">
        <f>IF(AND(IF(ISNUMBER(F171),AND(F171&gt;=1,F171&lt;=10,F171=INT(F171)),FALSE),IF(ISNUMBER(H171),AND(H171&gt;=1,H171&lt;=10,H171=INT(H171)),FALSE),IF(ISNUMBER(K171),AND(K171&gt;=1,K171&lt;=10,K171=INT(K171)),FALSE)),F171*H171*K171,"")</f>
        <v/>
      </c>
      <c r="M171" s="54" t="str">
        <f>IF(L171="",IF(D171="","","À coter"),IF(OR(F171&gt;=p_gmin,L171&gt;=p_ipr_crit),"Critique",IF(L171&gt;=p_ipr_act,"Élevée",IF(L171&gt;=p_ipr_watch,"Moyenne","Faible"))))</f>
        <v/>
      </c>
      <c r="N171" s="54" t="str">
        <f>IF(OR(M171="",M171="À coter"),"",IF(OR(M171="Critique",M171="Élevée"),"Oui","Non"))</f>
        <v/>
      </c>
      <c r="O171" s="51" t="n"/>
      <c r="P171" s="51" t="n"/>
      <c r="Q171" s="55" t="n"/>
      <c r="R171" s="50" t="n"/>
      <c r="S171" s="55" t="n"/>
      <c r="T171" s="56" t="n"/>
      <c r="U171" s="52" t="n"/>
      <c r="V171" s="52" t="n"/>
      <c r="W171" s="52" t="n"/>
      <c r="X171" s="53" t="str">
        <f>IF(AND(L171&lt;&gt;"",IF(ISNUMBER(U171),AND(U171&gt;=1,U171&lt;=10,U171=INT(U171)),FALSE),IF(ISNUMBER(V171),AND(V171&gt;=1,V171&lt;=10,V171=INT(V171)),FALSE),IF(ISNUMBER(W171),AND(W171&gt;=1,W171&lt;=10,W171=INT(W171)),FALSE)),U171*V171*W171,"")</f>
        <v/>
      </c>
      <c r="Y171" s="54" t="str">
        <f>IF(X171="","",IF(OR(U171&gt;=p_gmin,X171&gt;=p_ipr_crit),"Critique",IF(X171&gt;=p_ipr_act,"Élevée",IF(X171&gt;=p_ipr_watch,"Moyenne","Faible"))))</f>
        <v/>
      </c>
      <c r="Z171" s="57" t="str">
        <f>IF(X171="","",(L171-X171)/L171)</f>
        <v/>
      </c>
      <c r="AA171" s="54" t="str">
        <f>IF(AND(D171="",O171=""),"",IF(O171="",IF(N171="Oui","Action à définir",IF(N171="Non","Sans action","")),IF(R171="Annulée","Annulée",IF(R171="Réalisée",IF(X171="","À réévaluer","Réalisée"),IF(N(Q171)=0,"Échéance manquante",IF(Q171&lt;p_today,"En retard",IF(Q171-p_today&lt;=p_alert,"Échéance proche","Dans les délais")))))))</f>
        <v/>
      </c>
      <c r="AB171" s="58" t="str">
        <f>IF(AND(A171="",B171="",D171="",F171="",H171="",K171="",O171=""),"",IF(D171="","Mode de défaillance manquant",IF(AND(A171&lt;&gt;"",COUNTIF(am_num,A171)&gt;1),"N° en double",IF(F171="","Gravité G manquante",IF(NOT(IF(ISNUMBER(F171),AND(F171&gt;=1,F171&lt;=10,F171=INT(F171)),FALSE)),"G : entier de 1 à 10",IF(H171="","Occurrence O manquante",IF(NOT(IF(ISNUMBER(H171),AND(H171&gt;=1,H171&lt;=10,H171=INT(H171)),FALSE)),"O : entier de 1 à 10",IF(K171="","Détection D manquante",IF(NOT(IF(ISNUMBER(K171),AND(K171&gt;=1,K171&lt;=10,K171=INT(K171)),FALSE)),"D : entier de 1 à 10",IF(G171="","Cause manquante",IF(AND(O171&lt;&gt;"",P171=""),"Responsable manquant",IF(AND(R171&lt;&gt;"",O171=""),"Statut sans action",IF(AND(R171="Réalisée",N(S171)=0),"Date de réalisation manquante",IF(AND(T171&lt;&gt;"",IF(ISNUMBER(T171),T171&lt;0,TRUE)),"Coût invalide",IF(AND(COUNTBLANK(U171:W171)&gt;0,COUNTBLANK(U171:W171)&lt;3),"Cotation après action incomplète",IF(AND(COUNTBLANK(U171:W171)=0,X171=""),"G', O', D' : entiers de 1 à 10",IF(AND(X171&lt;&gt;"",X171&gt;L171),"IPR après action plus élevé","OK")))))))))))))))))</f>
        <v/>
      </c>
      <c r="AC171" s="59" t="str">
        <f>IF(OR(AA171="En retard",AA171="Échéance proche",AA171="Dans les délais",AA171="Échéance manquante",AA171="Action à définir",AA171="À réévaluer"),IF(OR(plan_who="",P171=plan_who),IF(N(Q171)&gt;0,Q171,99999)*1000+ROW(),""),"")</f>
        <v/>
      </c>
      <c r="AD171" s="59" t="str">
        <f>IF(L171="","",L171*1000+1000-ROW())</f>
        <v/>
      </c>
      <c r="AE171" s="59" t="str">
        <f>IF(IF(AA171="En retard",1,IF(AA171="Action à définir",2,IF(AA171="Échéance manquante",3,IF(AA171="Échéance proche",4,IF(AA171="À réévaluer",5,0)))))=0,"",IF(AA171="En retard",1,IF(AA171="Action à définir",2,IF(AA171="Échéance manquante",3,IF(AA171="Échéance proche",4,IF(AA171="À réévaluer",5,0)))))*100000000+IF(N(Q171)&gt;0,Q171,99999)*1000+ROW())</f>
        <v/>
      </c>
      <c r="AF171" s="59" t="str">
        <f>IF(X171&lt;&gt;"",X171,L171)</f>
        <v/>
      </c>
      <c r="AG171" s="59" t="str">
        <f>IF(X171&lt;&gt;"",Y171,IF(L171&lt;&gt;"",M171,""))</f>
        <v/>
      </c>
      <c r="AH171" s="59" t="str">
        <f>IF(L171="","",IF(X171&lt;&gt;"",U171,F171))</f>
        <v/>
      </c>
      <c r="AI171" s="59" t="str">
        <f>IF(L171="","",IF(X171&lt;&gt;"",V171,H171))</f>
        <v/>
      </c>
    </row>
    <row r="172" ht="30" customHeight="1">
      <c r="A172" s="50" t="n"/>
      <c r="B172" s="51" t="n"/>
      <c r="C172" s="51" t="n"/>
      <c r="D172" s="51" t="n"/>
      <c r="E172" s="51" t="n"/>
      <c r="F172" s="52" t="n"/>
      <c r="G172" s="51" t="n"/>
      <c r="H172" s="52" t="n"/>
      <c r="I172" s="51" t="n"/>
      <c r="J172" s="51" t="n"/>
      <c r="K172" s="52" t="n"/>
      <c r="L172" s="53" t="str">
        <f>IF(AND(IF(ISNUMBER(F172),AND(F172&gt;=1,F172&lt;=10,F172=INT(F172)),FALSE),IF(ISNUMBER(H172),AND(H172&gt;=1,H172&lt;=10,H172=INT(H172)),FALSE),IF(ISNUMBER(K172),AND(K172&gt;=1,K172&lt;=10,K172=INT(K172)),FALSE)),F172*H172*K172,"")</f>
        <v/>
      </c>
      <c r="M172" s="54" t="str">
        <f>IF(L172="",IF(D172="","","À coter"),IF(OR(F172&gt;=p_gmin,L172&gt;=p_ipr_crit),"Critique",IF(L172&gt;=p_ipr_act,"Élevée",IF(L172&gt;=p_ipr_watch,"Moyenne","Faible"))))</f>
        <v/>
      </c>
      <c r="N172" s="54" t="str">
        <f>IF(OR(M172="",M172="À coter"),"",IF(OR(M172="Critique",M172="Élevée"),"Oui","Non"))</f>
        <v/>
      </c>
      <c r="O172" s="51" t="n"/>
      <c r="P172" s="51" t="n"/>
      <c r="Q172" s="55" t="n"/>
      <c r="R172" s="50" t="n"/>
      <c r="S172" s="55" t="n"/>
      <c r="T172" s="56" t="n"/>
      <c r="U172" s="52" t="n"/>
      <c r="V172" s="52" t="n"/>
      <c r="W172" s="52" t="n"/>
      <c r="X172" s="53" t="str">
        <f>IF(AND(L172&lt;&gt;"",IF(ISNUMBER(U172),AND(U172&gt;=1,U172&lt;=10,U172=INT(U172)),FALSE),IF(ISNUMBER(V172),AND(V172&gt;=1,V172&lt;=10,V172=INT(V172)),FALSE),IF(ISNUMBER(W172),AND(W172&gt;=1,W172&lt;=10,W172=INT(W172)),FALSE)),U172*V172*W172,"")</f>
        <v/>
      </c>
      <c r="Y172" s="54" t="str">
        <f>IF(X172="","",IF(OR(U172&gt;=p_gmin,X172&gt;=p_ipr_crit),"Critique",IF(X172&gt;=p_ipr_act,"Élevée",IF(X172&gt;=p_ipr_watch,"Moyenne","Faible"))))</f>
        <v/>
      </c>
      <c r="Z172" s="57" t="str">
        <f>IF(X172="","",(L172-X172)/L172)</f>
        <v/>
      </c>
      <c r="AA172" s="54" t="str">
        <f>IF(AND(D172="",O172=""),"",IF(O172="",IF(N172="Oui","Action à définir",IF(N172="Non","Sans action","")),IF(R172="Annulée","Annulée",IF(R172="Réalisée",IF(X172="","À réévaluer","Réalisée"),IF(N(Q172)=0,"Échéance manquante",IF(Q172&lt;p_today,"En retard",IF(Q172-p_today&lt;=p_alert,"Échéance proche","Dans les délais")))))))</f>
        <v/>
      </c>
      <c r="AB172" s="58" t="str">
        <f>IF(AND(A172="",B172="",D172="",F172="",H172="",K172="",O172=""),"",IF(D172="","Mode de défaillance manquant",IF(AND(A172&lt;&gt;"",COUNTIF(am_num,A172)&gt;1),"N° en double",IF(F172="","Gravité G manquante",IF(NOT(IF(ISNUMBER(F172),AND(F172&gt;=1,F172&lt;=10,F172=INT(F172)),FALSE)),"G : entier de 1 à 10",IF(H172="","Occurrence O manquante",IF(NOT(IF(ISNUMBER(H172),AND(H172&gt;=1,H172&lt;=10,H172=INT(H172)),FALSE)),"O : entier de 1 à 10",IF(K172="","Détection D manquante",IF(NOT(IF(ISNUMBER(K172),AND(K172&gt;=1,K172&lt;=10,K172=INT(K172)),FALSE)),"D : entier de 1 à 10",IF(G172="","Cause manquante",IF(AND(O172&lt;&gt;"",P172=""),"Responsable manquant",IF(AND(R172&lt;&gt;"",O172=""),"Statut sans action",IF(AND(R172="Réalisée",N(S172)=0),"Date de réalisation manquante",IF(AND(T172&lt;&gt;"",IF(ISNUMBER(T172),T172&lt;0,TRUE)),"Coût invalide",IF(AND(COUNTBLANK(U172:W172)&gt;0,COUNTBLANK(U172:W172)&lt;3),"Cotation après action incomplète",IF(AND(COUNTBLANK(U172:W172)=0,X172=""),"G', O', D' : entiers de 1 à 10",IF(AND(X172&lt;&gt;"",X172&gt;L172),"IPR après action plus élevé","OK")))))))))))))))))</f>
        <v/>
      </c>
      <c r="AC172" s="59" t="str">
        <f>IF(OR(AA172="En retard",AA172="Échéance proche",AA172="Dans les délais",AA172="Échéance manquante",AA172="Action à définir",AA172="À réévaluer"),IF(OR(plan_who="",P172=plan_who),IF(N(Q172)&gt;0,Q172,99999)*1000+ROW(),""),"")</f>
        <v/>
      </c>
      <c r="AD172" s="59" t="str">
        <f>IF(L172="","",L172*1000+1000-ROW())</f>
        <v/>
      </c>
      <c r="AE172" s="59" t="str">
        <f>IF(IF(AA172="En retard",1,IF(AA172="Action à définir",2,IF(AA172="Échéance manquante",3,IF(AA172="Échéance proche",4,IF(AA172="À réévaluer",5,0)))))=0,"",IF(AA172="En retard",1,IF(AA172="Action à définir",2,IF(AA172="Échéance manquante",3,IF(AA172="Échéance proche",4,IF(AA172="À réévaluer",5,0)))))*100000000+IF(N(Q172)&gt;0,Q172,99999)*1000+ROW())</f>
        <v/>
      </c>
      <c r="AF172" s="59" t="str">
        <f>IF(X172&lt;&gt;"",X172,L172)</f>
        <v/>
      </c>
      <c r="AG172" s="59" t="str">
        <f>IF(X172&lt;&gt;"",Y172,IF(L172&lt;&gt;"",M172,""))</f>
        <v/>
      </c>
      <c r="AH172" s="59" t="str">
        <f>IF(L172="","",IF(X172&lt;&gt;"",U172,F172))</f>
        <v/>
      </c>
      <c r="AI172" s="59" t="str">
        <f>IF(L172="","",IF(X172&lt;&gt;"",V172,H172))</f>
        <v/>
      </c>
    </row>
    <row r="173" ht="30" customHeight="1">
      <c r="A173" s="50" t="n"/>
      <c r="B173" s="51" t="n"/>
      <c r="C173" s="51" t="n"/>
      <c r="D173" s="51" t="n"/>
      <c r="E173" s="51" t="n"/>
      <c r="F173" s="52" t="n"/>
      <c r="G173" s="51" t="n"/>
      <c r="H173" s="52" t="n"/>
      <c r="I173" s="51" t="n"/>
      <c r="J173" s="51" t="n"/>
      <c r="K173" s="52" t="n"/>
      <c r="L173" s="53" t="str">
        <f>IF(AND(IF(ISNUMBER(F173),AND(F173&gt;=1,F173&lt;=10,F173=INT(F173)),FALSE),IF(ISNUMBER(H173),AND(H173&gt;=1,H173&lt;=10,H173=INT(H173)),FALSE),IF(ISNUMBER(K173),AND(K173&gt;=1,K173&lt;=10,K173=INT(K173)),FALSE)),F173*H173*K173,"")</f>
        <v/>
      </c>
      <c r="M173" s="54" t="str">
        <f>IF(L173="",IF(D173="","","À coter"),IF(OR(F173&gt;=p_gmin,L173&gt;=p_ipr_crit),"Critique",IF(L173&gt;=p_ipr_act,"Élevée",IF(L173&gt;=p_ipr_watch,"Moyenne","Faible"))))</f>
        <v/>
      </c>
      <c r="N173" s="54" t="str">
        <f>IF(OR(M173="",M173="À coter"),"",IF(OR(M173="Critique",M173="Élevée"),"Oui","Non"))</f>
        <v/>
      </c>
      <c r="O173" s="51" t="n"/>
      <c r="P173" s="51" t="n"/>
      <c r="Q173" s="55" t="n"/>
      <c r="R173" s="50" t="n"/>
      <c r="S173" s="55" t="n"/>
      <c r="T173" s="56" t="n"/>
      <c r="U173" s="52" t="n"/>
      <c r="V173" s="52" t="n"/>
      <c r="W173" s="52" t="n"/>
      <c r="X173" s="53" t="str">
        <f>IF(AND(L173&lt;&gt;"",IF(ISNUMBER(U173),AND(U173&gt;=1,U173&lt;=10,U173=INT(U173)),FALSE),IF(ISNUMBER(V173),AND(V173&gt;=1,V173&lt;=10,V173=INT(V173)),FALSE),IF(ISNUMBER(W173),AND(W173&gt;=1,W173&lt;=10,W173=INT(W173)),FALSE)),U173*V173*W173,"")</f>
        <v/>
      </c>
      <c r="Y173" s="54" t="str">
        <f>IF(X173="","",IF(OR(U173&gt;=p_gmin,X173&gt;=p_ipr_crit),"Critique",IF(X173&gt;=p_ipr_act,"Élevée",IF(X173&gt;=p_ipr_watch,"Moyenne","Faible"))))</f>
        <v/>
      </c>
      <c r="Z173" s="57" t="str">
        <f>IF(X173="","",(L173-X173)/L173)</f>
        <v/>
      </c>
      <c r="AA173" s="54" t="str">
        <f>IF(AND(D173="",O173=""),"",IF(O173="",IF(N173="Oui","Action à définir",IF(N173="Non","Sans action","")),IF(R173="Annulée","Annulée",IF(R173="Réalisée",IF(X173="","À réévaluer","Réalisée"),IF(N(Q173)=0,"Échéance manquante",IF(Q173&lt;p_today,"En retard",IF(Q173-p_today&lt;=p_alert,"Échéance proche","Dans les délais")))))))</f>
        <v/>
      </c>
      <c r="AB173" s="58" t="str">
        <f>IF(AND(A173="",B173="",D173="",F173="",H173="",K173="",O173=""),"",IF(D173="","Mode de défaillance manquant",IF(AND(A173&lt;&gt;"",COUNTIF(am_num,A173)&gt;1),"N° en double",IF(F173="","Gravité G manquante",IF(NOT(IF(ISNUMBER(F173),AND(F173&gt;=1,F173&lt;=10,F173=INT(F173)),FALSE)),"G : entier de 1 à 10",IF(H173="","Occurrence O manquante",IF(NOT(IF(ISNUMBER(H173),AND(H173&gt;=1,H173&lt;=10,H173=INT(H173)),FALSE)),"O : entier de 1 à 10",IF(K173="","Détection D manquante",IF(NOT(IF(ISNUMBER(K173),AND(K173&gt;=1,K173&lt;=10,K173=INT(K173)),FALSE)),"D : entier de 1 à 10",IF(G173="","Cause manquante",IF(AND(O173&lt;&gt;"",P173=""),"Responsable manquant",IF(AND(R173&lt;&gt;"",O173=""),"Statut sans action",IF(AND(R173="Réalisée",N(S173)=0),"Date de réalisation manquante",IF(AND(T173&lt;&gt;"",IF(ISNUMBER(T173),T173&lt;0,TRUE)),"Coût invalide",IF(AND(COUNTBLANK(U173:W173)&gt;0,COUNTBLANK(U173:W173)&lt;3),"Cotation après action incomplète",IF(AND(COUNTBLANK(U173:W173)=0,X173=""),"G', O', D' : entiers de 1 à 10",IF(AND(X173&lt;&gt;"",X173&gt;L173),"IPR après action plus élevé","OK")))))))))))))))))</f>
        <v/>
      </c>
      <c r="AC173" s="59" t="str">
        <f>IF(OR(AA173="En retard",AA173="Échéance proche",AA173="Dans les délais",AA173="Échéance manquante",AA173="Action à définir",AA173="À réévaluer"),IF(OR(plan_who="",P173=plan_who),IF(N(Q173)&gt;0,Q173,99999)*1000+ROW(),""),"")</f>
        <v/>
      </c>
      <c r="AD173" s="59" t="str">
        <f>IF(L173="","",L173*1000+1000-ROW())</f>
        <v/>
      </c>
      <c r="AE173" s="59" t="str">
        <f>IF(IF(AA173="En retard",1,IF(AA173="Action à définir",2,IF(AA173="Échéance manquante",3,IF(AA173="Échéance proche",4,IF(AA173="À réévaluer",5,0)))))=0,"",IF(AA173="En retard",1,IF(AA173="Action à définir",2,IF(AA173="Échéance manquante",3,IF(AA173="Échéance proche",4,IF(AA173="À réévaluer",5,0)))))*100000000+IF(N(Q173)&gt;0,Q173,99999)*1000+ROW())</f>
        <v/>
      </c>
      <c r="AF173" s="59" t="str">
        <f>IF(X173&lt;&gt;"",X173,L173)</f>
        <v/>
      </c>
      <c r="AG173" s="59" t="str">
        <f>IF(X173&lt;&gt;"",Y173,IF(L173&lt;&gt;"",M173,""))</f>
        <v/>
      </c>
      <c r="AH173" s="59" t="str">
        <f>IF(L173="","",IF(X173&lt;&gt;"",U173,F173))</f>
        <v/>
      </c>
      <c r="AI173" s="59" t="str">
        <f>IF(L173="","",IF(X173&lt;&gt;"",V173,H173))</f>
        <v/>
      </c>
    </row>
    <row r="174" ht="30" customHeight="1">
      <c r="A174" s="50" t="n"/>
      <c r="B174" s="51" t="n"/>
      <c r="C174" s="51" t="n"/>
      <c r="D174" s="51" t="n"/>
      <c r="E174" s="51" t="n"/>
      <c r="F174" s="52" t="n"/>
      <c r="G174" s="51" t="n"/>
      <c r="H174" s="52" t="n"/>
      <c r="I174" s="51" t="n"/>
      <c r="J174" s="51" t="n"/>
      <c r="K174" s="52" t="n"/>
      <c r="L174" s="53" t="str">
        <f>IF(AND(IF(ISNUMBER(F174),AND(F174&gt;=1,F174&lt;=10,F174=INT(F174)),FALSE),IF(ISNUMBER(H174),AND(H174&gt;=1,H174&lt;=10,H174=INT(H174)),FALSE),IF(ISNUMBER(K174),AND(K174&gt;=1,K174&lt;=10,K174=INT(K174)),FALSE)),F174*H174*K174,"")</f>
        <v/>
      </c>
      <c r="M174" s="54" t="str">
        <f>IF(L174="",IF(D174="","","À coter"),IF(OR(F174&gt;=p_gmin,L174&gt;=p_ipr_crit),"Critique",IF(L174&gt;=p_ipr_act,"Élevée",IF(L174&gt;=p_ipr_watch,"Moyenne","Faible"))))</f>
        <v/>
      </c>
      <c r="N174" s="54" t="str">
        <f>IF(OR(M174="",M174="À coter"),"",IF(OR(M174="Critique",M174="Élevée"),"Oui","Non"))</f>
        <v/>
      </c>
      <c r="O174" s="51" t="n"/>
      <c r="P174" s="51" t="n"/>
      <c r="Q174" s="55" t="n"/>
      <c r="R174" s="50" t="n"/>
      <c r="S174" s="55" t="n"/>
      <c r="T174" s="56" t="n"/>
      <c r="U174" s="52" t="n"/>
      <c r="V174" s="52" t="n"/>
      <c r="W174" s="52" t="n"/>
      <c r="X174" s="53" t="str">
        <f>IF(AND(L174&lt;&gt;"",IF(ISNUMBER(U174),AND(U174&gt;=1,U174&lt;=10,U174=INT(U174)),FALSE),IF(ISNUMBER(V174),AND(V174&gt;=1,V174&lt;=10,V174=INT(V174)),FALSE),IF(ISNUMBER(W174),AND(W174&gt;=1,W174&lt;=10,W174=INT(W174)),FALSE)),U174*V174*W174,"")</f>
        <v/>
      </c>
      <c r="Y174" s="54" t="str">
        <f>IF(X174="","",IF(OR(U174&gt;=p_gmin,X174&gt;=p_ipr_crit),"Critique",IF(X174&gt;=p_ipr_act,"Élevée",IF(X174&gt;=p_ipr_watch,"Moyenne","Faible"))))</f>
        <v/>
      </c>
      <c r="Z174" s="57" t="str">
        <f>IF(X174="","",(L174-X174)/L174)</f>
        <v/>
      </c>
      <c r="AA174" s="54" t="str">
        <f>IF(AND(D174="",O174=""),"",IF(O174="",IF(N174="Oui","Action à définir",IF(N174="Non","Sans action","")),IF(R174="Annulée","Annulée",IF(R174="Réalisée",IF(X174="","À réévaluer","Réalisée"),IF(N(Q174)=0,"Échéance manquante",IF(Q174&lt;p_today,"En retard",IF(Q174-p_today&lt;=p_alert,"Échéance proche","Dans les délais")))))))</f>
        <v/>
      </c>
      <c r="AB174" s="58" t="str">
        <f>IF(AND(A174="",B174="",D174="",F174="",H174="",K174="",O174=""),"",IF(D174="","Mode de défaillance manquant",IF(AND(A174&lt;&gt;"",COUNTIF(am_num,A174)&gt;1),"N° en double",IF(F174="","Gravité G manquante",IF(NOT(IF(ISNUMBER(F174),AND(F174&gt;=1,F174&lt;=10,F174=INT(F174)),FALSE)),"G : entier de 1 à 10",IF(H174="","Occurrence O manquante",IF(NOT(IF(ISNUMBER(H174),AND(H174&gt;=1,H174&lt;=10,H174=INT(H174)),FALSE)),"O : entier de 1 à 10",IF(K174="","Détection D manquante",IF(NOT(IF(ISNUMBER(K174),AND(K174&gt;=1,K174&lt;=10,K174=INT(K174)),FALSE)),"D : entier de 1 à 10",IF(G174="","Cause manquante",IF(AND(O174&lt;&gt;"",P174=""),"Responsable manquant",IF(AND(R174&lt;&gt;"",O174=""),"Statut sans action",IF(AND(R174="Réalisée",N(S174)=0),"Date de réalisation manquante",IF(AND(T174&lt;&gt;"",IF(ISNUMBER(T174),T174&lt;0,TRUE)),"Coût invalide",IF(AND(COUNTBLANK(U174:W174)&gt;0,COUNTBLANK(U174:W174)&lt;3),"Cotation après action incomplète",IF(AND(COUNTBLANK(U174:W174)=0,X174=""),"G', O', D' : entiers de 1 à 10",IF(AND(X174&lt;&gt;"",X174&gt;L174),"IPR après action plus élevé","OK")))))))))))))))))</f>
        <v/>
      </c>
      <c r="AC174" s="59" t="str">
        <f>IF(OR(AA174="En retard",AA174="Échéance proche",AA174="Dans les délais",AA174="Échéance manquante",AA174="Action à définir",AA174="À réévaluer"),IF(OR(plan_who="",P174=plan_who),IF(N(Q174)&gt;0,Q174,99999)*1000+ROW(),""),"")</f>
        <v/>
      </c>
      <c r="AD174" s="59" t="str">
        <f>IF(L174="","",L174*1000+1000-ROW())</f>
        <v/>
      </c>
      <c r="AE174" s="59" t="str">
        <f>IF(IF(AA174="En retard",1,IF(AA174="Action à définir",2,IF(AA174="Échéance manquante",3,IF(AA174="Échéance proche",4,IF(AA174="À réévaluer",5,0)))))=0,"",IF(AA174="En retard",1,IF(AA174="Action à définir",2,IF(AA174="Échéance manquante",3,IF(AA174="Échéance proche",4,IF(AA174="À réévaluer",5,0)))))*100000000+IF(N(Q174)&gt;0,Q174,99999)*1000+ROW())</f>
        <v/>
      </c>
      <c r="AF174" s="59" t="str">
        <f>IF(X174&lt;&gt;"",X174,L174)</f>
        <v/>
      </c>
      <c r="AG174" s="59" t="str">
        <f>IF(X174&lt;&gt;"",Y174,IF(L174&lt;&gt;"",M174,""))</f>
        <v/>
      </c>
      <c r="AH174" s="59" t="str">
        <f>IF(L174="","",IF(X174&lt;&gt;"",U174,F174))</f>
        <v/>
      </c>
      <c r="AI174" s="59" t="str">
        <f>IF(L174="","",IF(X174&lt;&gt;"",V174,H174))</f>
        <v/>
      </c>
    </row>
    <row r="175" ht="30" customHeight="1">
      <c r="A175" s="50" t="n"/>
      <c r="B175" s="51" t="n"/>
      <c r="C175" s="51" t="n"/>
      <c r="D175" s="51" t="n"/>
      <c r="E175" s="51" t="n"/>
      <c r="F175" s="52" t="n"/>
      <c r="G175" s="51" t="n"/>
      <c r="H175" s="52" t="n"/>
      <c r="I175" s="51" t="n"/>
      <c r="J175" s="51" t="n"/>
      <c r="K175" s="52" t="n"/>
      <c r="L175" s="53" t="str">
        <f>IF(AND(IF(ISNUMBER(F175),AND(F175&gt;=1,F175&lt;=10,F175=INT(F175)),FALSE),IF(ISNUMBER(H175),AND(H175&gt;=1,H175&lt;=10,H175=INT(H175)),FALSE),IF(ISNUMBER(K175),AND(K175&gt;=1,K175&lt;=10,K175=INT(K175)),FALSE)),F175*H175*K175,"")</f>
        <v/>
      </c>
      <c r="M175" s="54" t="str">
        <f>IF(L175="",IF(D175="","","À coter"),IF(OR(F175&gt;=p_gmin,L175&gt;=p_ipr_crit),"Critique",IF(L175&gt;=p_ipr_act,"Élevée",IF(L175&gt;=p_ipr_watch,"Moyenne","Faible"))))</f>
        <v/>
      </c>
      <c r="N175" s="54" t="str">
        <f>IF(OR(M175="",M175="À coter"),"",IF(OR(M175="Critique",M175="Élevée"),"Oui","Non"))</f>
        <v/>
      </c>
      <c r="O175" s="51" t="n"/>
      <c r="P175" s="51" t="n"/>
      <c r="Q175" s="55" t="n"/>
      <c r="R175" s="50" t="n"/>
      <c r="S175" s="55" t="n"/>
      <c r="T175" s="56" t="n"/>
      <c r="U175" s="52" t="n"/>
      <c r="V175" s="52" t="n"/>
      <c r="W175" s="52" t="n"/>
      <c r="X175" s="53" t="str">
        <f>IF(AND(L175&lt;&gt;"",IF(ISNUMBER(U175),AND(U175&gt;=1,U175&lt;=10,U175=INT(U175)),FALSE),IF(ISNUMBER(V175),AND(V175&gt;=1,V175&lt;=10,V175=INT(V175)),FALSE),IF(ISNUMBER(W175),AND(W175&gt;=1,W175&lt;=10,W175=INT(W175)),FALSE)),U175*V175*W175,"")</f>
        <v/>
      </c>
      <c r="Y175" s="54" t="str">
        <f>IF(X175="","",IF(OR(U175&gt;=p_gmin,X175&gt;=p_ipr_crit),"Critique",IF(X175&gt;=p_ipr_act,"Élevée",IF(X175&gt;=p_ipr_watch,"Moyenne","Faible"))))</f>
        <v/>
      </c>
      <c r="Z175" s="57" t="str">
        <f>IF(X175="","",(L175-X175)/L175)</f>
        <v/>
      </c>
      <c r="AA175" s="54" t="str">
        <f>IF(AND(D175="",O175=""),"",IF(O175="",IF(N175="Oui","Action à définir",IF(N175="Non","Sans action","")),IF(R175="Annulée","Annulée",IF(R175="Réalisée",IF(X175="","À réévaluer","Réalisée"),IF(N(Q175)=0,"Échéance manquante",IF(Q175&lt;p_today,"En retard",IF(Q175-p_today&lt;=p_alert,"Échéance proche","Dans les délais")))))))</f>
        <v/>
      </c>
      <c r="AB175" s="58" t="str">
        <f>IF(AND(A175="",B175="",D175="",F175="",H175="",K175="",O175=""),"",IF(D175="","Mode de défaillance manquant",IF(AND(A175&lt;&gt;"",COUNTIF(am_num,A175)&gt;1),"N° en double",IF(F175="","Gravité G manquante",IF(NOT(IF(ISNUMBER(F175),AND(F175&gt;=1,F175&lt;=10,F175=INT(F175)),FALSE)),"G : entier de 1 à 10",IF(H175="","Occurrence O manquante",IF(NOT(IF(ISNUMBER(H175),AND(H175&gt;=1,H175&lt;=10,H175=INT(H175)),FALSE)),"O : entier de 1 à 10",IF(K175="","Détection D manquante",IF(NOT(IF(ISNUMBER(K175),AND(K175&gt;=1,K175&lt;=10,K175=INT(K175)),FALSE)),"D : entier de 1 à 10",IF(G175="","Cause manquante",IF(AND(O175&lt;&gt;"",P175=""),"Responsable manquant",IF(AND(R175&lt;&gt;"",O175=""),"Statut sans action",IF(AND(R175="Réalisée",N(S175)=0),"Date de réalisation manquante",IF(AND(T175&lt;&gt;"",IF(ISNUMBER(T175),T175&lt;0,TRUE)),"Coût invalide",IF(AND(COUNTBLANK(U175:W175)&gt;0,COUNTBLANK(U175:W175)&lt;3),"Cotation après action incomplète",IF(AND(COUNTBLANK(U175:W175)=0,X175=""),"G', O', D' : entiers de 1 à 10",IF(AND(X175&lt;&gt;"",X175&gt;L175),"IPR après action plus élevé","OK")))))))))))))))))</f>
        <v/>
      </c>
      <c r="AC175" s="59" t="str">
        <f>IF(OR(AA175="En retard",AA175="Échéance proche",AA175="Dans les délais",AA175="Échéance manquante",AA175="Action à définir",AA175="À réévaluer"),IF(OR(plan_who="",P175=plan_who),IF(N(Q175)&gt;0,Q175,99999)*1000+ROW(),""),"")</f>
        <v/>
      </c>
      <c r="AD175" s="59" t="str">
        <f>IF(L175="","",L175*1000+1000-ROW())</f>
        <v/>
      </c>
      <c r="AE175" s="59" t="str">
        <f>IF(IF(AA175="En retard",1,IF(AA175="Action à définir",2,IF(AA175="Échéance manquante",3,IF(AA175="Échéance proche",4,IF(AA175="À réévaluer",5,0)))))=0,"",IF(AA175="En retard",1,IF(AA175="Action à définir",2,IF(AA175="Échéance manquante",3,IF(AA175="Échéance proche",4,IF(AA175="À réévaluer",5,0)))))*100000000+IF(N(Q175)&gt;0,Q175,99999)*1000+ROW())</f>
        <v/>
      </c>
      <c r="AF175" s="59" t="str">
        <f>IF(X175&lt;&gt;"",X175,L175)</f>
        <v/>
      </c>
      <c r="AG175" s="59" t="str">
        <f>IF(X175&lt;&gt;"",Y175,IF(L175&lt;&gt;"",M175,""))</f>
        <v/>
      </c>
      <c r="AH175" s="59" t="str">
        <f>IF(L175="","",IF(X175&lt;&gt;"",U175,F175))</f>
        <v/>
      </c>
      <c r="AI175" s="59" t="str">
        <f>IF(L175="","",IF(X175&lt;&gt;"",V175,H175))</f>
        <v/>
      </c>
    </row>
    <row r="176" ht="30" customHeight="1">
      <c r="A176" s="50" t="n"/>
      <c r="B176" s="51" t="n"/>
      <c r="C176" s="51" t="n"/>
      <c r="D176" s="51" t="n"/>
      <c r="E176" s="51" t="n"/>
      <c r="F176" s="52" t="n"/>
      <c r="G176" s="51" t="n"/>
      <c r="H176" s="52" t="n"/>
      <c r="I176" s="51" t="n"/>
      <c r="J176" s="51" t="n"/>
      <c r="K176" s="52" t="n"/>
      <c r="L176" s="53" t="str">
        <f>IF(AND(IF(ISNUMBER(F176),AND(F176&gt;=1,F176&lt;=10,F176=INT(F176)),FALSE),IF(ISNUMBER(H176),AND(H176&gt;=1,H176&lt;=10,H176=INT(H176)),FALSE),IF(ISNUMBER(K176),AND(K176&gt;=1,K176&lt;=10,K176=INT(K176)),FALSE)),F176*H176*K176,"")</f>
        <v/>
      </c>
      <c r="M176" s="54" t="str">
        <f>IF(L176="",IF(D176="","","À coter"),IF(OR(F176&gt;=p_gmin,L176&gt;=p_ipr_crit),"Critique",IF(L176&gt;=p_ipr_act,"Élevée",IF(L176&gt;=p_ipr_watch,"Moyenne","Faible"))))</f>
        <v/>
      </c>
      <c r="N176" s="54" t="str">
        <f>IF(OR(M176="",M176="À coter"),"",IF(OR(M176="Critique",M176="Élevée"),"Oui","Non"))</f>
        <v/>
      </c>
      <c r="O176" s="51" t="n"/>
      <c r="P176" s="51" t="n"/>
      <c r="Q176" s="55" t="n"/>
      <c r="R176" s="50" t="n"/>
      <c r="S176" s="55" t="n"/>
      <c r="T176" s="56" t="n"/>
      <c r="U176" s="52" t="n"/>
      <c r="V176" s="52" t="n"/>
      <c r="W176" s="52" t="n"/>
      <c r="X176" s="53" t="str">
        <f>IF(AND(L176&lt;&gt;"",IF(ISNUMBER(U176),AND(U176&gt;=1,U176&lt;=10,U176=INT(U176)),FALSE),IF(ISNUMBER(V176),AND(V176&gt;=1,V176&lt;=10,V176=INT(V176)),FALSE),IF(ISNUMBER(W176),AND(W176&gt;=1,W176&lt;=10,W176=INT(W176)),FALSE)),U176*V176*W176,"")</f>
        <v/>
      </c>
      <c r="Y176" s="54" t="str">
        <f>IF(X176="","",IF(OR(U176&gt;=p_gmin,X176&gt;=p_ipr_crit),"Critique",IF(X176&gt;=p_ipr_act,"Élevée",IF(X176&gt;=p_ipr_watch,"Moyenne","Faible"))))</f>
        <v/>
      </c>
      <c r="Z176" s="57" t="str">
        <f>IF(X176="","",(L176-X176)/L176)</f>
        <v/>
      </c>
      <c r="AA176" s="54" t="str">
        <f>IF(AND(D176="",O176=""),"",IF(O176="",IF(N176="Oui","Action à définir",IF(N176="Non","Sans action","")),IF(R176="Annulée","Annulée",IF(R176="Réalisée",IF(X176="","À réévaluer","Réalisée"),IF(N(Q176)=0,"Échéance manquante",IF(Q176&lt;p_today,"En retard",IF(Q176-p_today&lt;=p_alert,"Échéance proche","Dans les délais")))))))</f>
        <v/>
      </c>
      <c r="AB176" s="58" t="str">
        <f>IF(AND(A176="",B176="",D176="",F176="",H176="",K176="",O176=""),"",IF(D176="","Mode de défaillance manquant",IF(AND(A176&lt;&gt;"",COUNTIF(am_num,A176)&gt;1),"N° en double",IF(F176="","Gravité G manquante",IF(NOT(IF(ISNUMBER(F176),AND(F176&gt;=1,F176&lt;=10,F176=INT(F176)),FALSE)),"G : entier de 1 à 10",IF(H176="","Occurrence O manquante",IF(NOT(IF(ISNUMBER(H176),AND(H176&gt;=1,H176&lt;=10,H176=INT(H176)),FALSE)),"O : entier de 1 à 10",IF(K176="","Détection D manquante",IF(NOT(IF(ISNUMBER(K176),AND(K176&gt;=1,K176&lt;=10,K176=INT(K176)),FALSE)),"D : entier de 1 à 10",IF(G176="","Cause manquante",IF(AND(O176&lt;&gt;"",P176=""),"Responsable manquant",IF(AND(R176&lt;&gt;"",O176=""),"Statut sans action",IF(AND(R176="Réalisée",N(S176)=0),"Date de réalisation manquante",IF(AND(T176&lt;&gt;"",IF(ISNUMBER(T176),T176&lt;0,TRUE)),"Coût invalide",IF(AND(COUNTBLANK(U176:W176)&gt;0,COUNTBLANK(U176:W176)&lt;3),"Cotation après action incomplète",IF(AND(COUNTBLANK(U176:W176)=0,X176=""),"G', O', D' : entiers de 1 à 10",IF(AND(X176&lt;&gt;"",X176&gt;L176),"IPR après action plus élevé","OK")))))))))))))))))</f>
        <v/>
      </c>
      <c r="AC176" s="59" t="str">
        <f>IF(OR(AA176="En retard",AA176="Échéance proche",AA176="Dans les délais",AA176="Échéance manquante",AA176="Action à définir",AA176="À réévaluer"),IF(OR(plan_who="",P176=plan_who),IF(N(Q176)&gt;0,Q176,99999)*1000+ROW(),""),"")</f>
        <v/>
      </c>
      <c r="AD176" s="59" t="str">
        <f>IF(L176="","",L176*1000+1000-ROW())</f>
        <v/>
      </c>
      <c r="AE176" s="59" t="str">
        <f>IF(IF(AA176="En retard",1,IF(AA176="Action à définir",2,IF(AA176="Échéance manquante",3,IF(AA176="Échéance proche",4,IF(AA176="À réévaluer",5,0)))))=0,"",IF(AA176="En retard",1,IF(AA176="Action à définir",2,IF(AA176="Échéance manquante",3,IF(AA176="Échéance proche",4,IF(AA176="À réévaluer",5,0)))))*100000000+IF(N(Q176)&gt;0,Q176,99999)*1000+ROW())</f>
        <v/>
      </c>
      <c r="AF176" s="59" t="str">
        <f>IF(X176&lt;&gt;"",X176,L176)</f>
        <v/>
      </c>
      <c r="AG176" s="59" t="str">
        <f>IF(X176&lt;&gt;"",Y176,IF(L176&lt;&gt;"",M176,""))</f>
        <v/>
      </c>
      <c r="AH176" s="59" t="str">
        <f>IF(L176="","",IF(X176&lt;&gt;"",U176,F176))</f>
        <v/>
      </c>
      <c r="AI176" s="59" t="str">
        <f>IF(L176="","",IF(X176&lt;&gt;"",V176,H176))</f>
        <v/>
      </c>
    </row>
    <row r="177" ht="30" customHeight="1">
      <c r="A177" s="50" t="n"/>
      <c r="B177" s="51" t="n"/>
      <c r="C177" s="51" t="n"/>
      <c r="D177" s="51" t="n"/>
      <c r="E177" s="51" t="n"/>
      <c r="F177" s="52" t="n"/>
      <c r="G177" s="51" t="n"/>
      <c r="H177" s="52" t="n"/>
      <c r="I177" s="51" t="n"/>
      <c r="J177" s="51" t="n"/>
      <c r="K177" s="52" t="n"/>
      <c r="L177" s="53" t="str">
        <f>IF(AND(IF(ISNUMBER(F177),AND(F177&gt;=1,F177&lt;=10,F177=INT(F177)),FALSE),IF(ISNUMBER(H177),AND(H177&gt;=1,H177&lt;=10,H177=INT(H177)),FALSE),IF(ISNUMBER(K177),AND(K177&gt;=1,K177&lt;=10,K177=INT(K177)),FALSE)),F177*H177*K177,"")</f>
        <v/>
      </c>
      <c r="M177" s="54" t="str">
        <f>IF(L177="",IF(D177="","","À coter"),IF(OR(F177&gt;=p_gmin,L177&gt;=p_ipr_crit),"Critique",IF(L177&gt;=p_ipr_act,"Élevée",IF(L177&gt;=p_ipr_watch,"Moyenne","Faible"))))</f>
        <v/>
      </c>
      <c r="N177" s="54" t="str">
        <f>IF(OR(M177="",M177="À coter"),"",IF(OR(M177="Critique",M177="Élevée"),"Oui","Non"))</f>
        <v/>
      </c>
      <c r="O177" s="51" t="n"/>
      <c r="P177" s="51" t="n"/>
      <c r="Q177" s="55" t="n"/>
      <c r="R177" s="50" t="n"/>
      <c r="S177" s="55" t="n"/>
      <c r="T177" s="56" t="n"/>
      <c r="U177" s="52" t="n"/>
      <c r="V177" s="52" t="n"/>
      <c r="W177" s="52" t="n"/>
      <c r="X177" s="53" t="str">
        <f>IF(AND(L177&lt;&gt;"",IF(ISNUMBER(U177),AND(U177&gt;=1,U177&lt;=10,U177=INT(U177)),FALSE),IF(ISNUMBER(V177),AND(V177&gt;=1,V177&lt;=10,V177=INT(V177)),FALSE),IF(ISNUMBER(W177),AND(W177&gt;=1,W177&lt;=10,W177=INT(W177)),FALSE)),U177*V177*W177,"")</f>
        <v/>
      </c>
      <c r="Y177" s="54" t="str">
        <f>IF(X177="","",IF(OR(U177&gt;=p_gmin,X177&gt;=p_ipr_crit),"Critique",IF(X177&gt;=p_ipr_act,"Élevée",IF(X177&gt;=p_ipr_watch,"Moyenne","Faible"))))</f>
        <v/>
      </c>
      <c r="Z177" s="57" t="str">
        <f>IF(X177="","",(L177-X177)/L177)</f>
        <v/>
      </c>
      <c r="AA177" s="54" t="str">
        <f>IF(AND(D177="",O177=""),"",IF(O177="",IF(N177="Oui","Action à définir",IF(N177="Non","Sans action","")),IF(R177="Annulée","Annulée",IF(R177="Réalisée",IF(X177="","À réévaluer","Réalisée"),IF(N(Q177)=0,"Échéance manquante",IF(Q177&lt;p_today,"En retard",IF(Q177-p_today&lt;=p_alert,"Échéance proche","Dans les délais")))))))</f>
        <v/>
      </c>
      <c r="AB177" s="58" t="str">
        <f>IF(AND(A177="",B177="",D177="",F177="",H177="",K177="",O177=""),"",IF(D177="","Mode de défaillance manquant",IF(AND(A177&lt;&gt;"",COUNTIF(am_num,A177)&gt;1),"N° en double",IF(F177="","Gravité G manquante",IF(NOT(IF(ISNUMBER(F177),AND(F177&gt;=1,F177&lt;=10,F177=INT(F177)),FALSE)),"G : entier de 1 à 10",IF(H177="","Occurrence O manquante",IF(NOT(IF(ISNUMBER(H177),AND(H177&gt;=1,H177&lt;=10,H177=INT(H177)),FALSE)),"O : entier de 1 à 10",IF(K177="","Détection D manquante",IF(NOT(IF(ISNUMBER(K177),AND(K177&gt;=1,K177&lt;=10,K177=INT(K177)),FALSE)),"D : entier de 1 à 10",IF(G177="","Cause manquante",IF(AND(O177&lt;&gt;"",P177=""),"Responsable manquant",IF(AND(R177&lt;&gt;"",O177=""),"Statut sans action",IF(AND(R177="Réalisée",N(S177)=0),"Date de réalisation manquante",IF(AND(T177&lt;&gt;"",IF(ISNUMBER(T177),T177&lt;0,TRUE)),"Coût invalide",IF(AND(COUNTBLANK(U177:W177)&gt;0,COUNTBLANK(U177:W177)&lt;3),"Cotation après action incomplète",IF(AND(COUNTBLANK(U177:W177)=0,X177=""),"G', O', D' : entiers de 1 à 10",IF(AND(X177&lt;&gt;"",X177&gt;L177),"IPR après action plus élevé","OK")))))))))))))))))</f>
        <v/>
      </c>
      <c r="AC177" s="59" t="str">
        <f>IF(OR(AA177="En retard",AA177="Échéance proche",AA177="Dans les délais",AA177="Échéance manquante",AA177="Action à définir",AA177="À réévaluer"),IF(OR(plan_who="",P177=plan_who),IF(N(Q177)&gt;0,Q177,99999)*1000+ROW(),""),"")</f>
        <v/>
      </c>
      <c r="AD177" s="59" t="str">
        <f>IF(L177="","",L177*1000+1000-ROW())</f>
        <v/>
      </c>
      <c r="AE177" s="59" t="str">
        <f>IF(IF(AA177="En retard",1,IF(AA177="Action à définir",2,IF(AA177="Échéance manquante",3,IF(AA177="Échéance proche",4,IF(AA177="À réévaluer",5,0)))))=0,"",IF(AA177="En retard",1,IF(AA177="Action à définir",2,IF(AA177="Échéance manquante",3,IF(AA177="Échéance proche",4,IF(AA177="À réévaluer",5,0)))))*100000000+IF(N(Q177)&gt;0,Q177,99999)*1000+ROW())</f>
        <v/>
      </c>
      <c r="AF177" s="59" t="str">
        <f>IF(X177&lt;&gt;"",X177,L177)</f>
        <v/>
      </c>
      <c r="AG177" s="59" t="str">
        <f>IF(X177&lt;&gt;"",Y177,IF(L177&lt;&gt;"",M177,""))</f>
        <v/>
      </c>
      <c r="AH177" s="59" t="str">
        <f>IF(L177="","",IF(X177&lt;&gt;"",U177,F177))</f>
        <v/>
      </c>
      <c r="AI177" s="59" t="str">
        <f>IF(L177="","",IF(X177&lt;&gt;"",V177,H177))</f>
        <v/>
      </c>
    </row>
    <row r="178" ht="30" customHeight="1">
      <c r="A178" s="50" t="n"/>
      <c r="B178" s="51" t="n"/>
      <c r="C178" s="51" t="n"/>
      <c r="D178" s="51" t="n"/>
      <c r="E178" s="51" t="n"/>
      <c r="F178" s="52" t="n"/>
      <c r="G178" s="51" t="n"/>
      <c r="H178" s="52" t="n"/>
      <c r="I178" s="51" t="n"/>
      <c r="J178" s="51" t="n"/>
      <c r="K178" s="52" t="n"/>
      <c r="L178" s="53" t="str">
        <f>IF(AND(IF(ISNUMBER(F178),AND(F178&gt;=1,F178&lt;=10,F178=INT(F178)),FALSE),IF(ISNUMBER(H178),AND(H178&gt;=1,H178&lt;=10,H178=INT(H178)),FALSE),IF(ISNUMBER(K178),AND(K178&gt;=1,K178&lt;=10,K178=INT(K178)),FALSE)),F178*H178*K178,"")</f>
        <v/>
      </c>
      <c r="M178" s="54" t="str">
        <f>IF(L178="",IF(D178="","","À coter"),IF(OR(F178&gt;=p_gmin,L178&gt;=p_ipr_crit),"Critique",IF(L178&gt;=p_ipr_act,"Élevée",IF(L178&gt;=p_ipr_watch,"Moyenne","Faible"))))</f>
        <v/>
      </c>
      <c r="N178" s="54" t="str">
        <f>IF(OR(M178="",M178="À coter"),"",IF(OR(M178="Critique",M178="Élevée"),"Oui","Non"))</f>
        <v/>
      </c>
      <c r="O178" s="51" t="n"/>
      <c r="P178" s="51" t="n"/>
      <c r="Q178" s="55" t="n"/>
      <c r="R178" s="50" t="n"/>
      <c r="S178" s="55" t="n"/>
      <c r="T178" s="56" t="n"/>
      <c r="U178" s="52" t="n"/>
      <c r="V178" s="52" t="n"/>
      <c r="W178" s="52" t="n"/>
      <c r="X178" s="53" t="str">
        <f>IF(AND(L178&lt;&gt;"",IF(ISNUMBER(U178),AND(U178&gt;=1,U178&lt;=10,U178=INT(U178)),FALSE),IF(ISNUMBER(V178),AND(V178&gt;=1,V178&lt;=10,V178=INT(V178)),FALSE),IF(ISNUMBER(W178),AND(W178&gt;=1,W178&lt;=10,W178=INT(W178)),FALSE)),U178*V178*W178,"")</f>
        <v/>
      </c>
      <c r="Y178" s="54" t="str">
        <f>IF(X178="","",IF(OR(U178&gt;=p_gmin,X178&gt;=p_ipr_crit),"Critique",IF(X178&gt;=p_ipr_act,"Élevée",IF(X178&gt;=p_ipr_watch,"Moyenne","Faible"))))</f>
        <v/>
      </c>
      <c r="Z178" s="57" t="str">
        <f>IF(X178="","",(L178-X178)/L178)</f>
        <v/>
      </c>
      <c r="AA178" s="54" t="str">
        <f>IF(AND(D178="",O178=""),"",IF(O178="",IF(N178="Oui","Action à définir",IF(N178="Non","Sans action","")),IF(R178="Annulée","Annulée",IF(R178="Réalisée",IF(X178="","À réévaluer","Réalisée"),IF(N(Q178)=0,"Échéance manquante",IF(Q178&lt;p_today,"En retard",IF(Q178-p_today&lt;=p_alert,"Échéance proche","Dans les délais")))))))</f>
        <v/>
      </c>
      <c r="AB178" s="58" t="str">
        <f>IF(AND(A178="",B178="",D178="",F178="",H178="",K178="",O178=""),"",IF(D178="","Mode de défaillance manquant",IF(AND(A178&lt;&gt;"",COUNTIF(am_num,A178)&gt;1),"N° en double",IF(F178="","Gravité G manquante",IF(NOT(IF(ISNUMBER(F178),AND(F178&gt;=1,F178&lt;=10,F178=INT(F178)),FALSE)),"G : entier de 1 à 10",IF(H178="","Occurrence O manquante",IF(NOT(IF(ISNUMBER(H178),AND(H178&gt;=1,H178&lt;=10,H178=INT(H178)),FALSE)),"O : entier de 1 à 10",IF(K178="","Détection D manquante",IF(NOT(IF(ISNUMBER(K178),AND(K178&gt;=1,K178&lt;=10,K178=INT(K178)),FALSE)),"D : entier de 1 à 10",IF(G178="","Cause manquante",IF(AND(O178&lt;&gt;"",P178=""),"Responsable manquant",IF(AND(R178&lt;&gt;"",O178=""),"Statut sans action",IF(AND(R178="Réalisée",N(S178)=0),"Date de réalisation manquante",IF(AND(T178&lt;&gt;"",IF(ISNUMBER(T178),T178&lt;0,TRUE)),"Coût invalide",IF(AND(COUNTBLANK(U178:W178)&gt;0,COUNTBLANK(U178:W178)&lt;3),"Cotation après action incomplète",IF(AND(COUNTBLANK(U178:W178)=0,X178=""),"G', O', D' : entiers de 1 à 10",IF(AND(X178&lt;&gt;"",X178&gt;L178),"IPR après action plus élevé","OK")))))))))))))))))</f>
        <v/>
      </c>
      <c r="AC178" s="59" t="str">
        <f>IF(OR(AA178="En retard",AA178="Échéance proche",AA178="Dans les délais",AA178="Échéance manquante",AA178="Action à définir",AA178="À réévaluer"),IF(OR(plan_who="",P178=plan_who),IF(N(Q178)&gt;0,Q178,99999)*1000+ROW(),""),"")</f>
        <v/>
      </c>
      <c r="AD178" s="59" t="str">
        <f>IF(L178="","",L178*1000+1000-ROW())</f>
        <v/>
      </c>
      <c r="AE178" s="59" t="str">
        <f>IF(IF(AA178="En retard",1,IF(AA178="Action à définir",2,IF(AA178="Échéance manquante",3,IF(AA178="Échéance proche",4,IF(AA178="À réévaluer",5,0)))))=0,"",IF(AA178="En retard",1,IF(AA178="Action à définir",2,IF(AA178="Échéance manquante",3,IF(AA178="Échéance proche",4,IF(AA178="À réévaluer",5,0)))))*100000000+IF(N(Q178)&gt;0,Q178,99999)*1000+ROW())</f>
        <v/>
      </c>
      <c r="AF178" s="59" t="str">
        <f>IF(X178&lt;&gt;"",X178,L178)</f>
        <v/>
      </c>
      <c r="AG178" s="59" t="str">
        <f>IF(X178&lt;&gt;"",Y178,IF(L178&lt;&gt;"",M178,""))</f>
        <v/>
      </c>
      <c r="AH178" s="59" t="str">
        <f>IF(L178="","",IF(X178&lt;&gt;"",U178,F178))</f>
        <v/>
      </c>
      <c r="AI178" s="59" t="str">
        <f>IF(L178="","",IF(X178&lt;&gt;"",V178,H178))</f>
        <v/>
      </c>
    </row>
    <row r="179" ht="30" customHeight="1">
      <c r="A179" s="50" t="n"/>
      <c r="B179" s="51" t="n"/>
      <c r="C179" s="51" t="n"/>
      <c r="D179" s="51" t="n"/>
      <c r="E179" s="51" t="n"/>
      <c r="F179" s="52" t="n"/>
      <c r="G179" s="51" t="n"/>
      <c r="H179" s="52" t="n"/>
      <c r="I179" s="51" t="n"/>
      <c r="J179" s="51" t="n"/>
      <c r="K179" s="52" t="n"/>
      <c r="L179" s="53" t="str">
        <f>IF(AND(IF(ISNUMBER(F179),AND(F179&gt;=1,F179&lt;=10,F179=INT(F179)),FALSE),IF(ISNUMBER(H179),AND(H179&gt;=1,H179&lt;=10,H179=INT(H179)),FALSE),IF(ISNUMBER(K179),AND(K179&gt;=1,K179&lt;=10,K179=INT(K179)),FALSE)),F179*H179*K179,"")</f>
        <v/>
      </c>
      <c r="M179" s="54" t="str">
        <f>IF(L179="",IF(D179="","","À coter"),IF(OR(F179&gt;=p_gmin,L179&gt;=p_ipr_crit),"Critique",IF(L179&gt;=p_ipr_act,"Élevée",IF(L179&gt;=p_ipr_watch,"Moyenne","Faible"))))</f>
        <v/>
      </c>
      <c r="N179" s="54" t="str">
        <f>IF(OR(M179="",M179="À coter"),"",IF(OR(M179="Critique",M179="Élevée"),"Oui","Non"))</f>
        <v/>
      </c>
      <c r="O179" s="51" t="n"/>
      <c r="P179" s="51" t="n"/>
      <c r="Q179" s="55" t="n"/>
      <c r="R179" s="50" t="n"/>
      <c r="S179" s="55" t="n"/>
      <c r="T179" s="56" t="n"/>
      <c r="U179" s="52" t="n"/>
      <c r="V179" s="52" t="n"/>
      <c r="W179" s="52" t="n"/>
      <c r="X179" s="53" t="str">
        <f>IF(AND(L179&lt;&gt;"",IF(ISNUMBER(U179),AND(U179&gt;=1,U179&lt;=10,U179=INT(U179)),FALSE),IF(ISNUMBER(V179),AND(V179&gt;=1,V179&lt;=10,V179=INT(V179)),FALSE),IF(ISNUMBER(W179),AND(W179&gt;=1,W179&lt;=10,W179=INT(W179)),FALSE)),U179*V179*W179,"")</f>
        <v/>
      </c>
      <c r="Y179" s="54" t="str">
        <f>IF(X179="","",IF(OR(U179&gt;=p_gmin,X179&gt;=p_ipr_crit),"Critique",IF(X179&gt;=p_ipr_act,"Élevée",IF(X179&gt;=p_ipr_watch,"Moyenne","Faible"))))</f>
        <v/>
      </c>
      <c r="Z179" s="57" t="str">
        <f>IF(X179="","",(L179-X179)/L179)</f>
        <v/>
      </c>
      <c r="AA179" s="54" t="str">
        <f>IF(AND(D179="",O179=""),"",IF(O179="",IF(N179="Oui","Action à définir",IF(N179="Non","Sans action","")),IF(R179="Annulée","Annulée",IF(R179="Réalisée",IF(X179="","À réévaluer","Réalisée"),IF(N(Q179)=0,"Échéance manquante",IF(Q179&lt;p_today,"En retard",IF(Q179-p_today&lt;=p_alert,"Échéance proche","Dans les délais")))))))</f>
        <v/>
      </c>
      <c r="AB179" s="58" t="str">
        <f>IF(AND(A179="",B179="",D179="",F179="",H179="",K179="",O179=""),"",IF(D179="","Mode de défaillance manquant",IF(AND(A179&lt;&gt;"",COUNTIF(am_num,A179)&gt;1),"N° en double",IF(F179="","Gravité G manquante",IF(NOT(IF(ISNUMBER(F179),AND(F179&gt;=1,F179&lt;=10,F179=INT(F179)),FALSE)),"G : entier de 1 à 10",IF(H179="","Occurrence O manquante",IF(NOT(IF(ISNUMBER(H179),AND(H179&gt;=1,H179&lt;=10,H179=INT(H179)),FALSE)),"O : entier de 1 à 10",IF(K179="","Détection D manquante",IF(NOT(IF(ISNUMBER(K179),AND(K179&gt;=1,K179&lt;=10,K179=INT(K179)),FALSE)),"D : entier de 1 à 10",IF(G179="","Cause manquante",IF(AND(O179&lt;&gt;"",P179=""),"Responsable manquant",IF(AND(R179&lt;&gt;"",O179=""),"Statut sans action",IF(AND(R179="Réalisée",N(S179)=0),"Date de réalisation manquante",IF(AND(T179&lt;&gt;"",IF(ISNUMBER(T179),T179&lt;0,TRUE)),"Coût invalide",IF(AND(COUNTBLANK(U179:W179)&gt;0,COUNTBLANK(U179:W179)&lt;3),"Cotation après action incomplète",IF(AND(COUNTBLANK(U179:W179)=0,X179=""),"G', O', D' : entiers de 1 à 10",IF(AND(X179&lt;&gt;"",X179&gt;L179),"IPR après action plus élevé","OK")))))))))))))))))</f>
        <v/>
      </c>
      <c r="AC179" s="59" t="str">
        <f>IF(OR(AA179="En retard",AA179="Échéance proche",AA179="Dans les délais",AA179="Échéance manquante",AA179="Action à définir",AA179="À réévaluer"),IF(OR(plan_who="",P179=plan_who),IF(N(Q179)&gt;0,Q179,99999)*1000+ROW(),""),"")</f>
        <v/>
      </c>
      <c r="AD179" s="59" t="str">
        <f>IF(L179="","",L179*1000+1000-ROW())</f>
        <v/>
      </c>
      <c r="AE179" s="59" t="str">
        <f>IF(IF(AA179="En retard",1,IF(AA179="Action à définir",2,IF(AA179="Échéance manquante",3,IF(AA179="Échéance proche",4,IF(AA179="À réévaluer",5,0)))))=0,"",IF(AA179="En retard",1,IF(AA179="Action à définir",2,IF(AA179="Échéance manquante",3,IF(AA179="Échéance proche",4,IF(AA179="À réévaluer",5,0)))))*100000000+IF(N(Q179)&gt;0,Q179,99999)*1000+ROW())</f>
        <v/>
      </c>
      <c r="AF179" s="59" t="str">
        <f>IF(X179&lt;&gt;"",X179,L179)</f>
        <v/>
      </c>
      <c r="AG179" s="59" t="str">
        <f>IF(X179&lt;&gt;"",Y179,IF(L179&lt;&gt;"",M179,""))</f>
        <v/>
      </c>
      <c r="AH179" s="59" t="str">
        <f>IF(L179="","",IF(X179&lt;&gt;"",U179,F179))</f>
        <v/>
      </c>
      <c r="AI179" s="59" t="str">
        <f>IF(L179="","",IF(X179&lt;&gt;"",V179,H179))</f>
        <v/>
      </c>
    </row>
    <row r="180" ht="30" customHeight="1">
      <c r="A180" s="50" t="n"/>
      <c r="B180" s="51" t="n"/>
      <c r="C180" s="51" t="n"/>
      <c r="D180" s="51" t="n"/>
      <c r="E180" s="51" t="n"/>
      <c r="F180" s="52" t="n"/>
      <c r="G180" s="51" t="n"/>
      <c r="H180" s="52" t="n"/>
      <c r="I180" s="51" t="n"/>
      <c r="J180" s="51" t="n"/>
      <c r="K180" s="52" t="n"/>
      <c r="L180" s="53" t="str">
        <f>IF(AND(IF(ISNUMBER(F180),AND(F180&gt;=1,F180&lt;=10,F180=INT(F180)),FALSE),IF(ISNUMBER(H180),AND(H180&gt;=1,H180&lt;=10,H180=INT(H180)),FALSE),IF(ISNUMBER(K180),AND(K180&gt;=1,K180&lt;=10,K180=INT(K180)),FALSE)),F180*H180*K180,"")</f>
        <v/>
      </c>
      <c r="M180" s="54" t="str">
        <f>IF(L180="",IF(D180="","","À coter"),IF(OR(F180&gt;=p_gmin,L180&gt;=p_ipr_crit),"Critique",IF(L180&gt;=p_ipr_act,"Élevée",IF(L180&gt;=p_ipr_watch,"Moyenne","Faible"))))</f>
        <v/>
      </c>
      <c r="N180" s="54" t="str">
        <f>IF(OR(M180="",M180="À coter"),"",IF(OR(M180="Critique",M180="Élevée"),"Oui","Non"))</f>
        <v/>
      </c>
      <c r="O180" s="51" t="n"/>
      <c r="P180" s="51" t="n"/>
      <c r="Q180" s="55" t="n"/>
      <c r="R180" s="50" t="n"/>
      <c r="S180" s="55" t="n"/>
      <c r="T180" s="56" t="n"/>
      <c r="U180" s="52" t="n"/>
      <c r="V180" s="52" t="n"/>
      <c r="W180" s="52" t="n"/>
      <c r="X180" s="53" t="str">
        <f>IF(AND(L180&lt;&gt;"",IF(ISNUMBER(U180),AND(U180&gt;=1,U180&lt;=10,U180=INT(U180)),FALSE),IF(ISNUMBER(V180),AND(V180&gt;=1,V180&lt;=10,V180=INT(V180)),FALSE),IF(ISNUMBER(W180),AND(W180&gt;=1,W180&lt;=10,W180=INT(W180)),FALSE)),U180*V180*W180,"")</f>
        <v/>
      </c>
      <c r="Y180" s="54" t="str">
        <f>IF(X180="","",IF(OR(U180&gt;=p_gmin,X180&gt;=p_ipr_crit),"Critique",IF(X180&gt;=p_ipr_act,"Élevée",IF(X180&gt;=p_ipr_watch,"Moyenne","Faible"))))</f>
        <v/>
      </c>
      <c r="Z180" s="57" t="str">
        <f>IF(X180="","",(L180-X180)/L180)</f>
        <v/>
      </c>
      <c r="AA180" s="54" t="str">
        <f>IF(AND(D180="",O180=""),"",IF(O180="",IF(N180="Oui","Action à définir",IF(N180="Non","Sans action","")),IF(R180="Annulée","Annulée",IF(R180="Réalisée",IF(X180="","À réévaluer","Réalisée"),IF(N(Q180)=0,"Échéance manquante",IF(Q180&lt;p_today,"En retard",IF(Q180-p_today&lt;=p_alert,"Échéance proche","Dans les délais")))))))</f>
        <v/>
      </c>
      <c r="AB180" s="58" t="str">
        <f>IF(AND(A180="",B180="",D180="",F180="",H180="",K180="",O180=""),"",IF(D180="","Mode de défaillance manquant",IF(AND(A180&lt;&gt;"",COUNTIF(am_num,A180)&gt;1),"N° en double",IF(F180="","Gravité G manquante",IF(NOT(IF(ISNUMBER(F180),AND(F180&gt;=1,F180&lt;=10,F180=INT(F180)),FALSE)),"G : entier de 1 à 10",IF(H180="","Occurrence O manquante",IF(NOT(IF(ISNUMBER(H180),AND(H180&gt;=1,H180&lt;=10,H180=INT(H180)),FALSE)),"O : entier de 1 à 10",IF(K180="","Détection D manquante",IF(NOT(IF(ISNUMBER(K180),AND(K180&gt;=1,K180&lt;=10,K180=INT(K180)),FALSE)),"D : entier de 1 à 10",IF(G180="","Cause manquante",IF(AND(O180&lt;&gt;"",P180=""),"Responsable manquant",IF(AND(R180&lt;&gt;"",O180=""),"Statut sans action",IF(AND(R180="Réalisée",N(S180)=0),"Date de réalisation manquante",IF(AND(T180&lt;&gt;"",IF(ISNUMBER(T180),T180&lt;0,TRUE)),"Coût invalide",IF(AND(COUNTBLANK(U180:W180)&gt;0,COUNTBLANK(U180:W180)&lt;3),"Cotation après action incomplète",IF(AND(COUNTBLANK(U180:W180)=0,X180=""),"G', O', D' : entiers de 1 à 10",IF(AND(X180&lt;&gt;"",X180&gt;L180),"IPR après action plus élevé","OK")))))))))))))))))</f>
        <v/>
      </c>
      <c r="AC180" s="59" t="str">
        <f>IF(OR(AA180="En retard",AA180="Échéance proche",AA180="Dans les délais",AA180="Échéance manquante",AA180="Action à définir",AA180="À réévaluer"),IF(OR(plan_who="",P180=plan_who),IF(N(Q180)&gt;0,Q180,99999)*1000+ROW(),""),"")</f>
        <v/>
      </c>
      <c r="AD180" s="59" t="str">
        <f>IF(L180="","",L180*1000+1000-ROW())</f>
        <v/>
      </c>
      <c r="AE180" s="59" t="str">
        <f>IF(IF(AA180="En retard",1,IF(AA180="Action à définir",2,IF(AA180="Échéance manquante",3,IF(AA180="Échéance proche",4,IF(AA180="À réévaluer",5,0)))))=0,"",IF(AA180="En retard",1,IF(AA180="Action à définir",2,IF(AA180="Échéance manquante",3,IF(AA180="Échéance proche",4,IF(AA180="À réévaluer",5,0)))))*100000000+IF(N(Q180)&gt;0,Q180,99999)*1000+ROW())</f>
        <v/>
      </c>
      <c r="AF180" s="59" t="str">
        <f>IF(X180&lt;&gt;"",X180,L180)</f>
        <v/>
      </c>
      <c r="AG180" s="59" t="str">
        <f>IF(X180&lt;&gt;"",Y180,IF(L180&lt;&gt;"",M180,""))</f>
        <v/>
      </c>
      <c r="AH180" s="59" t="str">
        <f>IF(L180="","",IF(X180&lt;&gt;"",U180,F180))</f>
        <v/>
      </c>
      <c r="AI180" s="59" t="str">
        <f>IF(L180="","",IF(X180&lt;&gt;"",V180,H180))</f>
        <v/>
      </c>
    </row>
    <row r="181" ht="30" customHeight="1">
      <c r="A181" s="50" t="n"/>
      <c r="B181" s="51" t="n"/>
      <c r="C181" s="51" t="n"/>
      <c r="D181" s="51" t="n"/>
      <c r="E181" s="51" t="n"/>
      <c r="F181" s="52" t="n"/>
      <c r="G181" s="51" t="n"/>
      <c r="H181" s="52" t="n"/>
      <c r="I181" s="51" t="n"/>
      <c r="J181" s="51" t="n"/>
      <c r="K181" s="52" t="n"/>
      <c r="L181" s="53" t="str">
        <f>IF(AND(IF(ISNUMBER(F181),AND(F181&gt;=1,F181&lt;=10,F181=INT(F181)),FALSE),IF(ISNUMBER(H181),AND(H181&gt;=1,H181&lt;=10,H181=INT(H181)),FALSE),IF(ISNUMBER(K181),AND(K181&gt;=1,K181&lt;=10,K181=INT(K181)),FALSE)),F181*H181*K181,"")</f>
        <v/>
      </c>
      <c r="M181" s="54" t="str">
        <f>IF(L181="",IF(D181="","","À coter"),IF(OR(F181&gt;=p_gmin,L181&gt;=p_ipr_crit),"Critique",IF(L181&gt;=p_ipr_act,"Élevée",IF(L181&gt;=p_ipr_watch,"Moyenne","Faible"))))</f>
        <v/>
      </c>
      <c r="N181" s="54" t="str">
        <f>IF(OR(M181="",M181="À coter"),"",IF(OR(M181="Critique",M181="Élevée"),"Oui","Non"))</f>
        <v/>
      </c>
      <c r="O181" s="51" t="n"/>
      <c r="P181" s="51" t="n"/>
      <c r="Q181" s="55" t="n"/>
      <c r="R181" s="50" t="n"/>
      <c r="S181" s="55" t="n"/>
      <c r="T181" s="56" t="n"/>
      <c r="U181" s="52" t="n"/>
      <c r="V181" s="52" t="n"/>
      <c r="W181" s="52" t="n"/>
      <c r="X181" s="53" t="str">
        <f>IF(AND(L181&lt;&gt;"",IF(ISNUMBER(U181),AND(U181&gt;=1,U181&lt;=10,U181=INT(U181)),FALSE),IF(ISNUMBER(V181),AND(V181&gt;=1,V181&lt;=10,V181=INT(V181)),FALSE),IF(ISNUMBER(W181),AND(W181&gt;=1,W181&lt;=10,W181=INT(W181)),FALSE)),U181*V181*W181,"")</f>
        <v/>
      </c>
      <c r="Y181" s="54" t="str">
        <f>IF(X181="","",IF(OR(U181&gt;=p_gmin,X181&gt;=p_ipr_crit),"Critique",IF(X181&gt;=p_ipr_act,"Élevée",IF(X181&gt;=p_ipr_watch,"Moyenne","Faible"))))</f>
        <v/>
      </c>
      <c r="Z181" s="57" t="str">
        <f>IF(X181="","",(L181-X181)/L181)</f>
        <v/>
      </c>
      <c r="AA181" s="54" t="str">
        <f>IF(AND(D181="",O181=""),"",IF(O181="",IF(N181="Oui","Action à définir",IF(N181="Non","Sans action","")),IF(R181="Annulée","Annulée",IF(R181="Réalisée",IF(X181="","À réévaluer","Réalisée"),IF(N(Q181)=0,"Échéance manquante",IF(Q181&lt;p_today,"En retard",IF(Q181-p_today&lt;=p_alert,"Échéance proche","Dans les délais")))))))</f>
        <v/>
      </c>
      <c r="AB181" s="58" t="str">
        <f>IF(AND(A181="",B181="",D181="",F181="",H181="",K181="",O181=""),"",IF(D181="","Mode de défaillance manquant",IF(AND(A181&lt;&gt;"",COUNTIF(am_num,A181)&gt;1),"N° en double",IF(F181="","Gravité G manquante",IF(NOT(IF(ISNUMBER(F181),AND(F181&gt;=1,F181&lt;=10,F181=INT(F181)),FALSE)),"G : entier de 1 à 10",IF(H181="","Occurrence O manquante",IF(NOT(IF(ISNUMBER(H181),AND(H181&gt;=1,H181&lt;=10,H181=INT(H181)),FALSE)),"O : entier de 1 à 10",IF(K181="","Détection D manquante",IF(NOT(IF(ISNUMBER(K181),AND(K181&gt;=1,K181&lt;=10,K181=INT(K181)),FALSE)),"D : entier de 1 à 10",IF(G181="","Cause manquante",IF(AND(O181&lt;&gt;"",P181=""),"Responsable manquant",IF(AND(R181&lt;&gt;"",O181=""),"Statut sans action",IF(AND(R181="Réalisée",N(S181)=0),"Date de réalisation manquante",IF(AND(T181&lt;&gt;"",IF(ISNUMBER(T181),T181&lt;0,TRUE)),"Coût invalide",IF(AND(COUNTBLANK(U181:W181)&gt;0,COUNTBLANK(U181:W181)&lt;3),"Cotation après action incomplète",IF(AND(COUNTBLANK(U181:W181)=0,X181=""),"G', O', D' : entiers de 1 à 10",IF(AND(X181&lt;&gt;"",X181&gt;L181),"IPR après action plus élevé","OK")))))))))))))))))</f>
        <v/>
      </c>
      <c r="AC181" s="59" t="str">
        <f>IF(OR(AA181="En retard",AA181="Échéance proche",AA181="Dans les délais",AA181="Échéance manquante",AA181="Action à définir",AA181="À réévaluer"),IF(OR(plan_who="",P181=plan_who),IF(N(Q181)&gt;0,Q181,99999)*1000+ROW(),""),"")</f>
        <v/>
      </c>
      <c r="AD181" s="59" t="str">
        <f>IF(L181="","",L181*1000+1000-ROW())</f>
        <v/>
      </c>
      <c r="AE181" s="59" t="str">
        <f>IF(IF(AA181="En retard",1,IF(AA181="Action à définir",2,IF(AA181="Échéance manquante",3,IF(AA181="Échéance proche",4,IF(AA181="À réévaluer",5,0)))))=0,"",IF(AA181="En retard",1,IF(AA181="Action à définir",2,IF(AA181="Échéance manquante",3,IF(AA181="Échéance proche",4,IF(AA181="À réévaluer",5,0)))))*100000000+IF(N(Q181)&gt;0,Q181,99999)*1000+ROW())</f>
        <v/>
      </c>
      <c r="AF181" s="59" t="str">
        <f>IF(X181&lt;&gt;"",X181,L181)</f>
        <v/>
      </c>
      <c r="AG181" s="59" t="str">
        <f>IF(X181&lt;&gt;"",Y181,IF(L181&lt;&gt;"",M181,""))</f>
        <v/>
      </c>
      <c r="AH181" s="59" t="str">
        <f>IF(L181="","",IF(X181&lt;&gt;"",U181,F181))</f>
        <v/>
      </c>
      <c r="AI181" s="59" t="str">
        <f>IF(L181="","",IF(X181&lt;&gt;"",V181,H181))</f>
        <v/>
      </c>
    </row>
    <row r="182" ht="30" customHeight="1">
      <c r="A182" s="50" t="n"/>
      <c r="B182" s="51" t="n"/>
      <c r="C182" s="51" t="n"/>
      <c r="D182" s="51" t="n"/>
      <c r="E182" s="51" t="n"/>
      <c r="F182" s="52" t="n"/>
      <c r="G182" s="51" t="n"/>
      <c r="H182" s="52" t="n"/>
      <c r="I182" s="51" t="n"/>
      <c r="J182" s="51" t="n"/>
      <c r="K182" s="52" t="n"/>
      <c r="L182" s="53" t="str">
        <f>IF(AND(IF(ISNUMBER(F182),AND(F182&gt;=1,F182&lt;=10,F182=INT(F182)),FALSE),IF(ISNUMBER(H182),AND(H182&gt;=1,H182&lt;=10,H182=INT(H182)),FALSE),IF(ISNUMBER(K182),AND(K182&gt;=1,K182&lt;=10,K182=INT(K182)),FALSE)),F182*H182*K182,"")</f>
        <v/>
      </c>
      <c r="M182" s="54" t="str">
        <f>IF(L182="",IF(D182="","","À coter"),IF(OR(F182&gt;=p_gmin,L182&gt;=p_ipr_crit),"Critique",IF(L182&gt;=p_ipr_act,"Élevée",IF(L182&gt;=p_ipr_watch,"Moyenne","Faible"))))</f>
        <v/>
      </c>
      <c r="N182" s="54" t="str">
        <f>IF(OR(M182="",M182="À coter"),"",IF(OR(M182="Critique",M182="Élevée"),"Oui","Non"))</f>
        <v/>
      </c>
      <c r="O182" s="51" t="n"/>
      <c r="P182" s="51" t="n"/>
      <c r="Q182" s="55" t="n"/>
      <c r="R182" s="50" t="n"/>
      <c r="S182" s="55" t="n"/>
      <c r="T182" s="56" t="n"/>
      <c r="U182" s="52" t="n"/>
      <c r="V182" s="52" t="n"/>
      <c r="W182" s="52" t="n"/>
      <c r="X182" s="53" t="str">
        <f>IF(AND(L182&lt;&gt;"",IF(ISNUMBER(U182),AND(U182&gt;=1,U182&lt;=10,U182=INT(U182)),FALSE),IF(ISNUMBER(V182),AND(V182&gt;=1,V182&lt;=10,V182=INT(V182)),FALSE),IF(ISNUMBER(W182),AND(W182&gt;=1,W182&lt;=10,W182=INT(W182)),FALSE)),U182*V182*W182,"")</f>
        <v/>
      </c>
      <c r="Y182" s="54" t="str">
        <f>IF(X182="","",IF(OR(U182&gt;=p_gmin,X182&gt;=p_ipr_crit),"Critique",IF(X182&gt;=p_ipr_act,"Élevée",IF(X182&gt;=p_ipr_watch,"Moyenne","Faible"))))</f>
        <v/>
      </c>
      <c r="Z182" s="57" t="str">
        <f>IF(X182="","",(L182-X182)/L182)</f>
        <v/>
      </c>
      <c r="AA182" s="54" t="str">
        <f>IF(AND(D182="",O182=""),"",IF(O182="",IF(N182="Oui","Action à définir",IF(N182="Non","Sans action","")),IF(R182="Annulée","Annulée",IF(R182="Réalisée",IF(X182="","À réévaluer","Réalisée"),IF(N(Q182)=0,"Échéance manquante",IF(Q182&lt;p_today,"En retard",IF(Q182-p_today&lt;=p_alert,"Échéance proche","Dans les délais")))))))</f>
        <v/>
      </c>
      <c r="AB182" s="58" t="str">
        <f>IF(AND(A182="",B182="",D182="",F182="",H182="",K182="",O182=""),"",IF(D182="","Mode de défaillance manquant",IF(AND(A182&lt;&gt;"",COUNTIF(am_num,A182)&gt;1),"N° en double",IF(F182="","Gravité G manquante",IF(NOT(IF(ISNUMBER(F182),AND(F182&gt;=1,F182&lt;=10,F182=INT(F182)),FALSE)),"G : entier de 1 à 10",IF(H182="","Occurrence O manquante",IF(NOT(IF(ISNUMBER(H182),AND(H182&gt;=1,H182&lt;=10,H182=INT(H182)),FALSE)),"O : entier de 1 à 10",IF(K182="","Détection D manquante",IF(NOT(IF(ISNUMBER(K182),AND(K182&gt;=1,K182&lt;=10,K182=INT(K182)),FALSE)),"D : entier de 1 à 10",IF(G182="","Cause manquante",IF(AND(O182&lt;&gt;"",P182=""),"Responsable manquant",IF(AND(R182&lt;&gt;"",O182=""),"Statut sans action",IF(AND(R182="Réalisée",N(S182)=0),"Date de réalisation manquante",IF(AND(T182&lt;&gt;"",IF(ISNUMBER(T182),T182&lt;0,TRUE)),"Coût invalide",IF(AND(COUNTBLANK(U182:W182)&gt;0,COUNTBLANK(U182:W182)&lt;3),"Cotation après action incomplète",IF(AND(COUNTBLANK(U182:W182)=0,X182=""),"G', O', D' : entiers de 1 à 10",IF(AND(X182&lt;&gt;"",X182&gt;L182),"IPR après action plus élevé","OK")))))))))))))))))</f>
        <v/>
      </c>
      <c r="AC182" s="59" t="str">
        <f>IF(OR(AA182="En retard",AA182="Échéance proche",AA182="Dans les délais",AA182="Échéance manquante",AA182="Action à définir",AA182="À réévaluer"),IF(OR(plan_who="",P182=plan_who),IF(N(Q182)&gt;0,Q182,99999)*1000+ROW(),""),"")</f>
        <v/>
      </c>
      <c r="AD182" s="59" t="str">
        <f>IF(L182="","",L182*1000+1000-ROW())</f>
        <v/>
      </c>
      <c r="AE182" s="59" t="str">
        <f>IF(IF(AA182="En retard",1,IF(AA182="Action à définir",2,IF(AA182="Échéance manquante",3,IF(AA182="Échéance proche",4,IF(AA182="À réévaluer",5,0)))))=0,"",IF(AA182="En retard",1,IF(AA182="Action à définir",2,IF(AA182="Échéance manquante",3,IF(AA182="Échéance proche",4,IF(AA182="À réévaluer",5,0)))))*100000000+IF(N(Q182)&gt;0,Q182,99999)*1000+ROW())</f>
        <v/>
      </c>
      <c r="AF182" s="59" t="str">
        <f>IF(X182&lt;&gt;"",X182,L182)</f>
        <v/>
      </c>
      <c r="AG182" s="59" t="str">
        <f>IF(X182&lt;&gt;"",Y182,IF(L182&lt;&gt;"",M182,""))</f>
        <v/>
      </c>
      <c r="AH182" s="59" t="str">
        <f>IF(L182="","",IF(X182&lt;&gt;"",U182,F182))</f>
        <v/>
      </c>
      <c r="AI182" s="59" t="str">
        <f>IF(L182="","",IF(X182&lt;&gt;"",V182,H182))</f>
        <v/>
      </c>
    </row>
    <row r="183" ht="30" customHeight="1">
      <c r="A183" s="50" t="n"/>
      <c r="B183" s="51" t="n"/>
      <c r="C183" s="51" t="n"/>
      <c r="D183" s="51" t="n"/>
      <c r="E183" s="51" t="n"/>
      <c r="F183" s="52" t="n"/>
      <c r="G183" s="51" t="n"/>
      <c r="H183" s="52" t="n"/>
      <c r="I183" s="51" t="n"/>
      <c r="J183" s="51" t="n"/>
      <c r="K183" s="52" t="n"/>
      <c r="L183" s="53" t="str">
        <f>IF(AND(IF(ISNUMBER(F183),AND(F183&gt;=1,F183&lt;=10,F183=INT(F183)),FALSE),IF(ISNUMBER(H183),AND(H183&gt;=1,H183&lt;=10,H183=INT(H183)),FALSE),IF(ISNUMBER(K183),AND(K183&gt;=1,K183&lt;=10,K183=INT(K183)),FALSE)),F183*H183*K183,"")</f>
        <v/>
      </c>
      <c r="M183" s="54" t="str">
        <f>IF(L183="",IF(D183="","","À coter"),IF(OR(F183&gt;=p_gmin,L183&gt;=p_ipr_crit),"Critique",IF(L183&gt;=p_ipr_act,"Élevée",IF(L183&gt;=p_ipr_watch,"Moyenne","Faible"))))</f>
        <v/>
      </c>
      <c r="N183" s="54" t="str">
        <f>IF(OR(M183="",M183="À coter"),"",IF(OR(M183="Critique",M183="Élevée"),"Oui","Non"))</f>
        <v/>
      </c>
      <c r="O183" s="51" t="n"/>
      <c r="P183" s="51" t="n"/>
      <c r="Q183" s="55" t="n"/>
      <c r="R183" s="50" t="n"/>
      <c r="S183" s="55" t="n"/>
      <c r="T183" s="56" t="n"/>
      <c r="U183" s="52" t="n"/>
      <c r="V183" s="52" t="n"/>
      <c r="W183" s="52" t="n"/>
      <c r="X183" s="53" t="str">
        <f>IF(AND(L183&lt;&gt;"",IF(ISNUMBER(U183),AND(U183&gt;=1,U183&lt;=10,U183=INT(U183)),FALSE),IF(ISNUMBER(V183),AND(V183&gt;=1,V183&lt;=10,V183=INT(V183)),FALSE),IF(ISNUMBER(W183),AND(W183&gt;=1,W183&lt;=10,W183=INT(W183)),FALSE)),U183*V183*W183,"")</f>
        <v/>
      </c>
      <c r="Y183" s="54" t="str">
        <f>IF(X183="","",IF(OR(U183&gt;=p_gmin,X183&gt;=p_ipr_crit),"Critique",IF(X183&gt;=p_ipr_act,"Élevée",IF(X183&gt;=p_ipr_watch,"Moyenne","Faible"))))</f>
        <v/>
      </c>
      <c r="Z183" s="57" t="str">
        <f>IF(X183="","",(L183-X183)/L183)</f>
        <v/>
      </c>
      <c r="AA183" s="54" t="str">
        <f>IF(AND(D183="",O183=""),"",IF(O183="",IF(N183="Oui","Action à définir",IF(N183="Non","Sans action","")),IF(R183="Annulée","Annulée",IF(R183="Réalisée",IF(X183="","À réévaluer","Réalisée"),IF(N(Q183)=0,"Échéance manquante",IF(Q183&lt;p_today,"En retard",IF(Q183-p_today&lt;=p_alert,"Échéance proche","Dans les délais")))))))</f>
        <v/>
      </c>
      <c r="AB183" s="58" t="str">
        <f>IF(AND(A183="",B183="",D183="",F183="",H183="",K183="",O183=""),"",IF(D183="","Mode de défaillance manquant",IF(AND(A183&lt;&gt;"",COUNTIF(am_num,A183)&gt;1),"N° en double",IF(F183="","Gravité G manquante",IF(NOT(IF(ISNUMBER(F183),AND(F183&gt;=1,F183&lt;=10,F183=INT(F183)),FALSE)),"G : entier de 1 à 10",IF(H183="","Occurrence O manquante",IF(NOT(IF(ISNUMBER(H183),AND(H183&gt;=1,H183&lt;=10,H183=INT(H183)),FALSE)),"O : entier de 1 à 10",IF(K183="","Détection D manquante",IF(NOT(IF(ISNUMBER(K183),AND(K183&gt;=1,K183&lt;=10,K183=INT(K183)),FALSE)),"D : entier de 1 à 10",IF(G183="","Cause manquante",IF(AND(O183&lt;&gt;"",P183=""),"Responsable manquant",IF(AND(R183&lt;&gt;"",O183=""),"Statut sans action",IF(AND(R183="Réalisée",N(S183)=0),"Date de réalisation manquante",IF(AND(T183&lt;&gt;"",IF(ISNUMBER(T183),T183&lt;0,TRUE)),"Coût invalide",IF(AND(COUNTBLANK(U183:W183)&gt;0,COUNTBLANK(U183:W183)&lt;3),"Cotation après action incomplète",IF(AND(COUNTBLANK(U183:W183)=0,X183=""),"G', O', D' : entiers de 1 à 10",IF(AND(X183&lt;&gt;"",X183&gt;L183),"IPR après action plus élevé","OK")))))))))))))))))</f>
        <v/>
      </c>
      <c r="AC183" s="59" t="str">
        <f>IF(OR(AA183="En retard",AA183="Échéance proche",AA183="Dans les délais",AA183="Échéance manquante",AA183="Action à définir",AA183="À réévaluer"),IF(OR(plan_who="",P183=plan_who),IF(N(Q183)&gt;0,Q183,99999)*1000+ROW(),""),"")</f>
        <v/>
      </c>
      <c r="AD183" s="59" t="str">
        <f>IF(L183="","",L183*1000+1000-ROW())</f>
        <v/>
      </c>
      <c r="AE183" s="59" t="str">
        <f>IF(IF(AA183="En retard",1,IF(AA183="Action à définir",2,IF(AA183="Échéance manquante",3,IF(AA183="Échéance proche",4,IF(AA183="À réévaluer",5,0)))))=0,"",IF(AA183="En retard",1,IF(AA183="Action à définir",2,IF(AA183="Échéance manquante",3,IF(AA183="Échéance proche",4,IF(AA183="À réévaluer",5,0)))))*100000000+IF(N(Q183)&gt;0,Q183,99999)*1000+ROW())</f>
        <v/>
      </c>
      <c r="AF183" s="59" t="str">
        <f>IF(X183&lt;&gt;"",X183,L183)</f>
        <v/>
      </c>
      <c r="AG183" s="59" t="str">
        <f>IF(X183&lt;&gt;"",Y183,IF(L183&lt;&gt;"",M183,""))</f>
        <v/>
      </c>
      <c r="AH183" s="59" t="str">
        <f>IF(L183="","",IF(X183&lt;&gt;"",U183,F183))</f>
        <v/>
      </c>
      <c r="AI183" s="59" t="str">
        <f>IF(L183="","",IF(X183&lt;&gt;"",V183,H183))</f>
        <v/>
      </c>
    </row>
    <row r="184" ht="30" customHeight="1">
      <c r="A184" s="50" t="n"/>
      <c r="B184" s="51" t="n"/>
      <c r="C184" s="51" t="n"/>
      <c r="D184" s="51" t="n"/>
      <c r="E184" s="51" t="n"/>
      <c r="F184" s="52" t="n"/>
      <c r="G184" s="51" t="n"/>
      <c r="H184" s="52" t="n"/>
      <c r="I184" s="51" t="n"/>
      <c r="J184" s="51" t="n"/>
      <c r="K184" s="52" t="n"/>
      <c r="L184" s="53" t="str">
        <f>IF(AND(IF(ISNUMBER(F184),AND(F184&gt;=1,F184&lt;=10,F184=INT(F184)),FALSE),IF(ISNUMBER(H184),AND(H184&gt;=1,H184&lt;=10,H184=INT(H184)),FALSE),IF(ISNUMBER(K184),AND(K184&gt;=1,K184&lt;=10,K184=INT(K184)),FALSE)),F184*H184*K184,"")</f>
        <v/>
      </c>
      <c r="M184" s="54" t="str">
        <f>IF(L184="",IF(D184="","","À coter"),IF(OR(F184&gt;=p_gmin,L184&gt;=p_ipr_crit),"Critique",IF(L184&gt;=p_ipr_act,"Élevée",IF(L184&gt;=p_ipr_watch,"Moyenne","Faible"))))</f>
        <v/>
      </c>
      <c r="N184" s="54" t="str">
        <f>IF(OR(M184="",M184="À coter"),"",IF(OR(M184="Critique",M184="Élevée"),"Oui","Non"))</f>
        <v/>
      </c>
      <c r="O184" s="51" t="n"/>
      <c r="P184" s="51" t="n"/>
      <c r="Q184" s="55" t="n"/>
      <c r="R184" s="50" t="n"/>
      <c r="S184" s="55" t="n"/>
      <c r="T184" s="56" t="n"/>
      <c r="U184" s="52" t="n"/>
      <c r="V184" s="52" t="n"/>
      <c r="W184" s="52" t="n"/>
      <c r="X184" s="53" t="str">
        <f>IF(AND(L184&lt;&gt;"",IF(ISNUMBER(U184),AND(U184&gt;=1,U184&lt;=10,U184=INT(U184)),FALSE),IF(ISNUMBER(V184),AND(V184&gt;=1,V184&lt;=10,V184=INT(V184)),FALSE),IF(ISNUMBER(W184),AND(W184&gt;=1,W184&lt;=10,W184=INT(W184)),FALSE)),U184*V184*W184,"")</f>
        <v/>
      </c>
      <c r="Y184" s="54" t="str">
        <f>IF(X184="","",IF(OR(U184&gt;=p_gmin,X184&gt;=p_ipr_crit),"Critique",IF(X184&gt;=p_ipr_act,"Élevée",IF(X184&gt;=p_ipr_watch,"Moyenne","Faible"))))</f>
        <v/>
      </c>
      <c r="Z184" s="57" t="str">
        <f>IF(X184="","",(L184-X184)/L184)</f>
        <v/>
      </c>
      <c r="AA184" s="54" t="str">
        <f>IF(AND(D184="",O184=""),"",IF(O184="",IF(N184="Oui","Action à définir",IF(N184="Non","Sans action","")),IF(R184="Annulée","Annulée",IF(R184="Réalisée",IF(X184="","À réévaluer","Réalisée"),IF(N(Q184)=0,"Échéance manquante",IF(Q184&lt;p_today,"En retard",IF(Q184-p_today&lt;=p_alert,"Échéance proche","Dans les délais")))))))</f>
        <v/>
      </c>
      <c r="AB184" s="58" t="str">
        <f>IF(AND(A184="",B184="",D184="",F184="",H184="",K184="",O184=""),"",IF(D184="","Mode de défaillance manquant",IF(AND(A184&lt;&gt;"",COUNTIF(am_num,A184)&gt;1),"N° en double",IF(F184="","Gravité G manquante",IF(NOT(IF(ISNUMBER(F184),AND(F184&gt;=1,F184&lt;=10,F184=INT(F184)),FALSE)),"G : entier de 1 à 10",IF(H184="","Occurrence O manquante",IF(NOT(IF(ISNUMBER(H184),AND(H184&gt;=1,H184&lt;=10,H184=INT(H184)),FALSE)),"O : entier de 1 à 10",IF(K184="","Détection D manquante",IF(NOT(IF(ISNUMBER(K184),AND(K184&gt;=1,K184&lt;=10,K184=INT(K184)),FALSE)),"D : entier de 1 à 10",IF(G184="","Cause manquante",IF(AND(O184&lt;&gt;"",P184=""),"Responsable manquant",IF(AND(R184&lt;&gt;"",O184=""),"Statut sans action",IF(AND(R184="Réalisée",N(S184)=0),"Date de réalisation manquante",IF(AND(T184&lt;&gt;"",IF(ISNUMBER(T184),T184&lt;0,TRUE)),"Coût invalide",IF(AND(COUNTBLANK(U184:W184)&gt;0,COUNTBLANK(U184:W184)&lt;3),"Cotation après action incomplète",IF(AND(COUNTBLANK(U184:W184)=0,X184=""),"G', O', D' : entiers de 1 à 10",IF(AND(X184&lt;&gt;"",X184&gt;L184),"IPR après action plus élevé","OK")))))))))))))))))</f>
        <v/>
      </c>
      <c r="AC184" s="59" t="str">
        <f>IF(OR(AA184="En retard",AA184="Échéance proche",AA184="Dans les délais",AA184="Échéance manquante",AA184="Action à définir",AA184="À réévaluer"),IF(OR(plan_who="",P184=plan_who),IF(N(Q184)&gt;0,Q184,99999)*1000+ROW(),""),"")</f>
        <v/>
      </c>
      <c r="AD184" s="59" t="str">
        <f>IF(L184="","",L184*1000+1000-ROW())</f>
        <v/>
      </c>
      <c r="AE184" s="59" t="str">
        <f>IF(IF(AA184="En retard",1,IF(AA184="Action à définir",2,IF(AA184="Échéance manquante",3,IF(AA184="Échéance proche",4,IF(AA184="À réévaluer",5,0)))))=0,"",IF(AA184="En retard",1,IF(AA184="Action à définir",2,IF(AA184="Échéance manquante",3,IF(AA184="Échéance proche",4,IF(AA184="À réévaluer",5,0)))))*100000000+IF(N(Q184)&gt;0,Q184,99999)*1000+ROW())</f>
        <v/>
      </c>
      <c r="AF184" s="59" t="str">
        <f>IF(X184&lt;&gt;"",X184,L184)</f>
        <v/>
      </c>
      <c r="AG184" s="59" t="str">
        <f>IF(X184&lt;&gt;"",Y184,IF(L184&lt;&gt;"",M184,""))</f>
        <v/>
      </c>
      <c r="AH184" s="59" t="str">
        <f>IF(L184="","",IF(X184&lt;&gt;"",U184,F184))</f>
        <v/>
      </c>
      <c r="AI184" s="59" t="str">
        <f>IF(L184="","",IF(X184&lt;&gt;"",V184,H184))</f>
        <v/>
      </c>
    </row>
    <row r="185" ht="30" customHeight="1">
      <c r="A185" s="50" t="n"/>
      <c r="B185" s="51" t="n"/>
      <c r="C185" s="51" t="n"/>
      <c r="D185" s="51" t="n"/>
      <c r="E185" s="51" t="n"/>
      <c r="F185" s="52" t="n"/>
      <c r="G185" s="51" t="n"/>
      <c r="H185" s="52" t="n"/>
      <c r="I185" s="51" t="n"/>
      <c r="J185" s="51" t="n"/>
      <c r="K185" s="52" t="n"/>
      <c r="L185" s="53" t="str">
        <f>IF(AND(IF(ISNUMBER(F185),AND(F185&gt;=1,F185&lt;=10,F185=INT(F185)),FALSE),IF(ISNUMBER(H185),AND(H185&gt;=1,H185&lt;=10,H185=INT(H185)),FALSE),IF(ISNUMBER(K185),AND(K185&gt;=1,K185&lt;=10,K185=INT(K185)),FALSE)),F185*H185*K185,"")</f>
        <v/>
      </c>
      <c r="M185" s="54" t="str">
        <f>IF(L185="",IF(D185="","","À coter"),IF(OR(F185&gt;=p_gmin,L185&gt;=p_ipr_crit),"Critique",IF(L185&gt;=p_ipr_act,"Élevée",IF(L185&gt;=p_ipr_watch,"Moyenne","Faible"))))</f>
        <v/>
      </c>
      <c r="N185" s="54" t="str">
        <f>IF(OR(M185="",M185="À coter"),"",IF(OR(M185="Critique",M185="Élevée"),"Oui","Non"))</f>
        <v/>
      </c>
      <c r="O185" s="51" t="n"/>
      <c r="P185" s="51" t="n"/>
      <c r="Q185" s="55" t="n"/>
      <c r="R185" s="50" t="n"/>
      <c r="S185" s="55" t="n"/>
      <c r="T185" s="56" t="n"/>
      <c r="U185" s="52" t="n"/>
      <c r="V185" s="52" t="n"/>
      <c r="W185" s="52" t="n"/>
      <c r="X185" s="53" t="str">
        <f>IF(AND(L185&lt;&gt;"",IF(ISNUMBER(U185),AND(U185&gt;=1,U185&lt;=10,U185=INT(U185)),FALSE),IF(ISNUMBER(V185),AND(V185&gt;=1,V185&lt;=10,V185=INT(V185)),FALSE),IF(ISNUMBER(W185),AND(W185&gt;=1,W185&lt;=10,W185=INT(W185)),FALSE)),U185*V185*W185,"")</f>
        <v/>
      </c>
      <c r="Y185" s="54" t="str">
        <f>IF(X185="","",IF(OR(U185&gt;=p_gmin,X185&gt;=p_ipr_crit),"Critique",IF(X185&gt;=p_ipr_act,"Élevée",IF(X185&gt;=p_ipr_watch,"Moyenne","Faible"))))</f>
        <v/>
      </c>
      <c r="Z185" s="57" t="str">
        <f>IF(X185="","",(L185-X185)/L185)</f>
        <v/>
      </c>
      <c r="AA185" s="54" t="str">
        <f>IF(AND(D185="",O185=""),"",IF(O185="",IF(N185="Oui","Action à définir",IF(N185="Non","Sans action","")),IF(R185="Annulée","Annulée",IF(R185="Réalisée",IF(X185="","À réévaluer","Réalisée"),IF(N(Q185)=0,"Échéance manquante",IF(Q185&lt;p_today,"En retard",IF(Q185-p_today&lt;=p_alert,"Échéance proche","Dans les délais")))))))</f>
        <v/>
      </c>
      <c r="AB185" s="58" t="str">
        <f>IF(AND(A185="",B185="",D185="",F185="",H185="",K185="",O185=""),"",IF(D185="","Mode de défaillance manquant",IF(AND(A185&lt;&gt;"",COUNTIF(am_num,A185)&gt;1),"N° en double",IF(F185="","Gravité G manquante",IF(NOT(IF(ISNUMBER(F185),AND(F185&gt;=1,F185&lt;=10,F185=INT(F185)),FALSE)),"G : entier de 1 à 10",IF(H185="","Occurrence O manquante",IF(NOT(IF(ISNUMBER(H185),AND(H185&gt;=1,H185&lt;=10,H185=INT(H185)),FALSE)),"O : entier de 1 à 10",IF(K185="","Détection D manquante",IF(NOT(IF(ISNUMBER(K185),AND(K185&gt;=1,K185&lt;=10,K185=INT(K185)),FALSE)),"D : entier de 1 à 10",IF(G185="","Cause manquante",IF(AND(O185&lt;&gt;"",P185=""),"Responsable manquant",IF(AND(R185&lt;&gt;"",O185=""),"Statut sans action",IF(AND(R185="Réalisée",N(S185)=0),"Date de réalisation manquante",IF(AND(T185&lt;&gt;"",IF(ISNUMBER(T185),T185&lt;0,TRUE)),"Coût invalide",IF(AND(COUNTBLANK(U185:W185)&gt;0,COUNTBLANK(U185:W185)&lt;3),"Cotation après action incomplète",IF(AND(COUNTBLANK(U185:W185)=0,X185=""),"G', O', D' : entiers de 1 à 10",IF(AND(X185&lt;&gt;"",X185&gt;L185),"IPR après action plus élevé","OK")))))))))))))))))</f>
        <v/>
      </c>
      <c r="AC185" s="59" t="str">
        <f>IF(OR(AA185="En retard",AA185="Échéance proche",AA185="Dans les délais",AA185="Échéance manquante",AA185="Action à définir",AA185="À réévaluer"),IF(OR(plan_who="",P185=plan_who),IF(N(Q185)&gt;0,Q185,99999)*1000+ROW(),""),"")</f>
        <v/>
      </c>
      <c r="AD185" s="59" t="str">
        <f>IF(L185="","",L185*1000+1000-ROW())</f>
        <v/>
      </c>
      <c r="AE185" s="59" t="str">
        <f>IF(IF(AA185="En retard",1,IF(AA185="Action à définir",2,IF(AA185="Échéance manquante",3,IF(AA185="Échéance proche",4,IF(AA185="À réévaluer",5,0)))))=0,"",IF(AA185="En retard",1,IF(AA185="Action à définir",2,IF(AA185="Échéance manquante",3,IF(AA185="Échéance proche",4,IF(AA185="À réévaluer",5,0)))))*100000000+IF(N(Q185)&gt;0,Q185,99999)*1000+ROW())</f>
        <v/>
      </c>
      <c r="AF185" s="59" t="str">
        <f>IF(X185&lt;&gt;"",X185,L185)</f>
        <v/>
      </c>
      <c r="AG185" s="59" t="str">
        <f>IF(X185&lt;&gt;"",Y185,IF(L185&lt;&gt;"",M185,""))</f>
        <v/>
      </c>
      <c r="AH185" s="59" t="str">
        <f>IF(L185="","",IF(X185&lt;&gt;"",U185,F185))</f>
        <v/>
      </c>
      <c r="AI185" s="59" t="str">
        <f>IF(L185="","",IF(X185&lt;&gt;"",V185,H185))</f>
        <v/>
      </c>
    </row>
    <row r="186" ht="30" customHeight="1">
      <c r="A186" s="50" t="n"/>
      <c r="B186" s="51" t="n"/>
      <c r="C186" s="51" t="n"/>
      <c r="D186" s="51" t="n"/>
      <c r="E186" s="51" t="n"/>
      <c r="F186" s="52" t="n"/>
      <c r="G186" s="51" t="n"/>
      <c r="H186" s="52" t="n"/>
      <c r="I186" s="51" t="n"/>
      <c r="J186" s="51" t="n"/>
      <c r="K186" s="52" t="n"/>
      <c r="L186" s="53" t="str">
        <f>IF(AND(IF(ISNUMBER(F186),AND(F186&gt;=1,F186&lt;=10,F186=INT(F186)),FALSE),IF(ISNUMBER(H186),AND(H186&gt;=1,H186&lt;=10,H186=INT(H186)),FALSE),IF(ISNUMBER(K186),AND(K186&gt;=1,K186&lt;=10,K186=INT(K186)),FALSE)),F186*H186*K186,"")</f>
        <v/>
      </c>
      <c r="M186" s="54" t="str">
        <f>IF(L186="",IF(D186="","","À coter"),IF(OR(F186&gt;=p_gmin,L186&gt;=p_ipr_crit),"Critique",IF(L186&gt;=p_ipr_act,"Élevée",IF(L186&gt;=p_ipr_watch,"Moyenne","Faible"))))</f>
        <v/>
      </c>
      <c r="N186" s="54" t="str">
        <f>IF(OR(M186="",M186="À coter"),"",IF(OR(M186="Critique",M186="Élevée"),"Oui","Non"))</f>
        <v/>
      </c>
      <c r="O186" s="51" t="n"/>
      <c r="P186" s="51" t="n"/>
      <c r="Q186" s="55" t="n"/>
      <c r="R186" s="50" t="n"/>
      <c r="S186" s="55" t="n"/>
      <c r="T186" s="56" t="n"/>
      <c r="U186" s="52" t="n"/>
      <c r="V186" s="52" t="n"/>
      <c r="W186" s="52" t="n"/>
      <c r="X186" s="53" t="str">
        <f>IF(AND(L186&lt;&gt;"",IF(ISNUMBER(U186),AND(U186&gt;=1,U186&lt;=10,U186=INT(U186)),FALSE),IF(ISNUMBER(V186),AND(V186&gt;=1,V186&lt;=10,V186=INT(V186)),FALSE),IF(ISNUMBER(W186),AND(W186&gt;=1,W186&lt;=10,W186=INT(W186)),FALSE)),U186*V186*W186,"")</f>
        <v/>
      </c>
      <c r="Y186" s="54" t="str">
        <f>IF(X186="","",IF(OR(U186&gt;=p_gmin,X186&gt;=p_ipr_crit),"Critique",IF(X186&gt;=p_ipr_act,"Élevée",IF(X186&gt;=p_ipr_watch,"Moyenne","Faible"))))</f>
        <v/>
      </c>
      <c r="Z186" s="57" t="str">
        <f>IF(X186="","",(L186-X186)/L186)</f>
        <v/>
      </c>
      <c r="AA186" s="54" t="str">
        <f>IF(AND(D186="",O186=""),"",IF(O186="",IF(N186="Oui","Action à définir",IF(N186="Non","Sans action","")),IF(R186="Annulée","Annulée",IF(R186="Réalisée",IF(X186="","À réévaluer","Réalisée"),IF(N(Q186)=0,"Échéance manquante",IF(Q186&lt;p_today,"En retard",IF(Q186-p_today&lt;=p_alert,"Échéance proche","Dans les délais")))))))</f>
        <v/>
      </c>
      <c r="AB186" s="58" t="str">
        <f>IF(AND(A186="",B186="",D186="",F186="",H186="",K186="",O186=""),"",IF(D186="","Mode de défaillance manquant",IF(AND(A186&lt;&gt;"",COUNTIF(am_num,A186)&gt;1),"N° en double",IF(F186="","Gravité G manquante",IF(NOT(IF(ISNUMBER(F186),AND(F186&gt;=1,F186&lt;=10,F186=INT(F186)),FALSE)),"G : entier de 1 à 10",IF(H186="","Occurrence O manquante",IF(NOT(IF(ISNUMBER(H186),AND(H186&gt;=1,H186&lt;=10,H186=INT(H186)),FALSE)),"O : entier de 1 à 10",IF(K186="","Détection D manquante",IF(NOT(IF(ISNUMBER(K186),AND(K186&gt;=1,K186&lt;=10,K186=INT(K186)),FALSE)),"D : entier de 1 à 10",IF(G186="","Cause manquante",IF(AND(O186&lt;&gt;"",P186=""),"Responsable manquant",IF(AND(R186&lt;&gt;"",O186=""),"Statut sans action",IF(AND(R186="Réalisée",N(S186)=0),"Date de réalisation manquante",IF(AND(T186&lt;&gt;"",IF(ISNUMBER(T186),T186&lt;0,TRUE)),"Coût invalide",IF(AND(COUNTBLANK(U186:W186)&gt;0,COUNTBLANK(U186:W186)&lt;3),"Cotation après action incomplète",IF(AND(COUNTBLANK(U186:W186)=0,X186=""),"G', O', D' : entiers de 1 à 10",IF(AND(X186&lt;&gt;"",X186&gt;L186),"IPR après action plus élevé","OK")))))))))))))))))</f>
        <v/>
      </c>
      <c r="AC186" s="59" t="str">
        <f>IF(OR(AA186="En retard",AA186="Échéance proche",AA186="Dans les délais",AA186="Échéance manquante",AA186="Action à définir",AA186="À réévaluer"),IF(OR(plan_who="",P186=plan_who),IF(N(Q186)&gt;0,Q186,99999)*1000+ROW(),""),"")</f>
        <v/>
      </c>
      <c r="AD186" s="59" t="str">
        <f>IF(L186="","",L186*1000+1000-ROW())</f>
        <v/>
      </c>
      <c r="AE186" s="59" t="str">
        <f>IF(IF(AA186="En retard",1,IF(AA186="Action à définir",2,IF(AA186="Échéance manquante",3,IF(AA186="Échéance proche",4,IF(AA186="À réévaluer",5,0)))))=0,"",IF(AA186="En retard",1,IF(AA186="Action à définir",2,IF(AA186="Échéance manquante",3,IF(AA186="Échéance proche",4,IF(AA186="À réévaluer",5,0)))))*100000000+IF(N(Q186)&gt;0,Q186,99999)*1000+ROW())</f>
        <v/>
      </c>
      <c r="AF186" s="59" t="str">
        <f>IF(X186&lt;&gt;"",X186,L186)</f>
        <v/>
      </c>
      <c r="AG186" s="59" t="str">
        <f>IF(X186&lt;&gt;"",Y186,IF(L186&lt;&gt;"",M186,""))</f>
        <v/>
      </c>
      <c r="AH186" s="59" t="str">
        <f>IF(L186="","",IF(X186&lt;&gt;"",U186,F186))</f>
        <v/>
      </c>
      <c r="AI186" s="59" t="str">
        <f>IF(L186="","",IF(X186&lt;&gt;"",V186,H186))</f>
        <v/>
      </c>
    </row>
    <row r="187" ht="30" customHeight="1">
      <c r="A187" s="50" t="n"/>
      <c r="B187" s="51" t="n"/>
      <c r="C187" s="51" t="n"/>
      <c r="D187" s="51" t="n"/>
      <c r="E187" s="51" t="n"/>
      <c r="F187" s="52" t="n"/>
      <c r="G187" s="51" t="n"/>
      <c r="H187" s="52" t="n"/>
      <c r="I187" s="51" t="n"/>
      <c r="J187" s="51" t="n"/>
      <c r="K187" s="52" t="n"/>
      <c r="L187" s="53" t="str">
        <f>IF(AND(IF(ISNUMBER(F187),AND(F187&gt;=1,F187&lt;=10,F187=INT(F187)),FALSE),IF(ISNUMBER(H187),AND(H187&gt;=1,H187&lt;=10,H187=INT(H187)),FALSE),IF(ISNUMBER(K187),AND(K187&gt;=1,K187&lt;=10,K187=INT(K187)),FALSE)),F187*H187*K187,"")</f>
        <v/>
      </c>
      <c r="M187" s="54" t="str">
        <f>IF(L187="",IF(D187="","","À coter"),IF(OR(F187&gt;=p_gmin,L187&gt;=p_ipr_crit),"Critique",IF(L187&gt;=p_ipr_act,"Élevée",IF(L187&gt;=p_ipr_watch,"Moyenne","Faible"))))</f>
        <v/>
      </c>
      <c r="N187" s="54" t="str">
        <f>IF(OR(M187="",M187="À coter"),"",IF(OR(M187="Critique",M187="Élevée"),"Oui","Non"))</f>
        <v/>
      </c>
      <c r="O187" s="51" t="n"/>
      <c r="P187" s="51" t="n"/>
      <c r="Q187" s="55" t="n"/>
      <c r="R187" s="50" t="n"/>
      <c r="S187" s="55" t="n"/>
      <c r="T187" s="56" t="n"/>
      <c r="U187" s="52" t="n"/>
      <c r="V187" s="52" t="n"/>
      <c r="W187" s="52" t="n"/>
      <c r="X187" s="53" t="str">
        <f>IF(AND(L187&lt;&gt;"",IF(ISNUMBER(U187),AND(U187&gt;=1,U187&lt;=10,U187=INT(U187)),FALSE),IF(ISNUMBER(V187),AND(V187&gt;=1,V187&lt;=10,V187=INT(V187)),FALSE),IF(ISNUMBER(W187),AND(W187&gt;=1,W187&lt;=10,W187=INT(W187)),FALSE)),U187*V187*W187,"")</f>
        <v/>
      </c>
      <c r="Y187" s="54" t="str">
        <f>IF(X187="","",IF(OR(U187&gt;=p_gmin,X187&gt;=p_ipr_crit),"Critique",IF(X187&gt;=p_ipr_act,"Élevée",IF(X187&gt;=p_ipr_watch,"Moyenne","Faible"))))</f>
        <v/>
      </c>
      <c r="Z187" s="57" t="str">
        <f>IF(X187="","",(L187-X187)/L187)</f>
        <v/>
      </c>
      <c r="AA187" s="54" t="str">
        <f>IF(AND(D187="",O187=""),"",IF(O187="",IF(N187="Oui","Action à définir",IF(N187="Non","Sans action","")),IF(R187="Annulée","Annulée",IF(R187="Réalisée",IF(X187="","À réévaluer","Réalisée"),IF(N(Q187)=0,"Échéance manquante",IF(Q187&lt;p_today,"En retard",IF(Q187-p_today&lt;=p_alert,"Échéance proche","Dans les délais")))))))</f>
        <v/>
      </c>
      <c r="AB187" s="58" t="str">
        <f>IF(AND(A187="",B187="",D187="",F187="",H187="",K187="",O187=""),"",IF(D187="","Mode de défaillance manquant",IF(AND(A187&lt;&gt;"",COUNTIF(am_num,A187)&gt;1),"N° en double",IF(F187="","Gravité G manquante",IF(NOT(IF(ISNUMBER(F187),AND(F187&gt;=1,F187&lt;=10,F187=INT(F187)),FALSE)),"G : entier de 1 à 10",IF(H187="","Occurrence O manquante",IF(NOT(IF(ISNUMBER(H187),AND(H187&gt;=1,H187&lt;=10,H187=INT(H187)),FALSE)),"O : entier de 1 à 10",IF(K187="","Détection D manquante",IF(NOT(IF(ISNUMBER(K187),AND(K187&gt;=1,K187&lt;=10,K187=INT(K187)),FALSE)),"D : entier de 1 à 10",IF(G187="","Cause manquante",IF(AND(O187&lt;&gt;"",P187=""),"Responsable manquant",IF(AND(R187&lt;&gt;"",O187=""),"Statut sans action",IF(AND(R187="Réalisée",N(S187)=0),"Date de réalisation manquante",IF(AND(T187&lt;&gt;"",IF(ISNUMBER(T187),T187&lt;0,TRUE)),"Coût invalide",IF(AND(COUNTBLANK(U187:W187)&gt;0,COUNTBLANK(U187:W187)&lt;3),"Cotation après action incomplète",IF(AND(COUNTBLANK(U187:W187)=0,X187=""),"G', O', D' : entiers de 1 à 10",IF(AND(X187&lt;&gt;"",X187&gt;L187),"IPR après action plus élevé","OK")))))))))))))))))</f>
        <v/>
      </c>
      <c r="AC187" s="59" t="str">
        <f>IF(OR(AA187="En retard",AA187="Échéance proche",AA187="Dans les délais",AA187="Échéance manquante",AA187="Action à définir",AA187="À réévaluer"),IF(OR(plan_who="",P187=plan_who),IF(N(Q187)&gt;0,Q187,99999)*1000+ROW(),""),"")</f>
        <v/>
      </c>
      <c r="AD187" s="59" t="str">
        <f>IF(L187="","",L187*1000+1000-ROW())</f>
        <v/>
      </c>
      <c r="AE187" s="59" t="str">
        <f>IF(IF(AA187="En retard",1,IF(AA187="Action à définir",2,IF(AA187="Échéance manquante",3,IF(AA187="Échéance proche",4,IF(AA187="À réévaluer",5,0)))))=0,"",IF(AA187="En retard",1,IF(AA187="Action à définir",2,IF(AA187="Échéance manquante",3,IF(AA187="Échéance proche",4,IF(AA187="À réévaluer",5,0)))))*100000000+IF(N(Q187)&gt;0,Q187,99999)*1000+ROW())</f>
        <v/>
      </c>
      <c r="AF187" s="59" t="str">
        <f>IF(X187&lt;&gt;"",X187,L187)</f>
        <v/>
      </c>
      <c r="AG187" s="59" t="str">
        <f>IF(X187&lt;&gt;"",Y187,IF(L187&lt;&gt;"",M187,""))</f>
        <v/>
      </c>
      <c r="AH187" s="59" t="str">
        <f>IF(L187="","",IF(X187&lt;&gt;"",U187,F187))</f>
        <v/>
      </c>
      <c r="AI187" s="59" t="str">
        <f>IF(L187="","",IF(X187&lt;&gt;"",V187,H187))</f>
        <v/>
      </c>
    </row>
    <row r="188" ht="30" customHeight="1">
      <c r="A188" s="50" t="n"/>
      <c r="B188" s="51" t="n"/>
      <c r="C188" s="51" t="n"/>
      <c r="D188" s="51" t="n"/>
      <c r="E188" s="51" t="n"/>
      <c r="F188" s="52" t="n"/>
      <c r="G188" s="51" t="n"/>
      <c r="H188" s="52" t="n"/>
      <c r="I188" s="51" t="n"/>
      <c r="J188" s="51" t="n"/>
      <c r="K188" s="52" t="n"/>
      <c r="L188" s="53" t="str">
        <f>IF(AND(IF(ISNUMBER(F188),AND(F188&gt;=1,F188&lt;=10,F188=INT(F188)),FALSE),IF(ISNUMBER(H188),AND(H188&gt;=1,H188&lt;=10,H188=INT(H188)),FALSE),IF(ISNUMBER(K188),AND(K188&gt;=1,K188&lt;=10,K188=INT(K188)),FALSE)),F188*H188*K188,"")</f>
        <v/>
      </c>
      <c r="M188" s="54" t="str">
        <f>IF(L188="",IF(D188="","","À coter"),IF(OR(F188&gt;=p_gmin,L188&gt;=p_ipr_crit),"Critique",IF(L188&gt;=p_ipr_act,"Élevée",IF(L188&gt;=p_ipr_watch,"Moyenne","Faible"))))</f>
        <v/>
      </c>
      <c r="N188" s="54" t="str">
        <f>IF(OR(M188="",M188="À coter"),"",IF(OR(M188="Critique",M188="Élevée"),"Oui","Non"))</f>
        <v/>
      </c>
      <c r="O188" s="51" t="n"/>
      <c r="P188" s="51" t="n"/>
      <c r="Q188" s="55" t="n"/>
      <c r="R188" s="50" t="n"/>
      <c r="S188" s="55" t="n"/>
      <c r="T188" s="56" t="n"/>
      <c r="U188" s="52" t="n"/>
      <c r="V188" s="52" t="n"/>
      <c r="W188" s="52" t="n"/>
      <c r="X188" s="53" t="str">
        <f>IF(AND(L188&lt;&gt;"",IF(ISNUMBER(U188),AND(U188&gt;=1,U188&lt;=10,U188=INT(U188)),FALSE),IF(ISNUMBER(V188),AND(V188&gt;=1,V188&lt;=10,V188=INT(V188)),FALSE),IF(ISNUMBER(W188),AND(W188&gt;=1,W188&lt;=10,W188=INT(W188)),FALSE)),U188*V188*W188,"")</f>
        <v/>
      </c>
      <c r="Y188" s="54" t="str">
        <f>IF(X188="","",IF(OR(U188&gt;=p_gmin,X188&gt;=p_ipr_crit),"Critique",IF(X188&gt;=p_ipr_act,"Élevée",IF(X188&gt;=p_ipr_watch,"Moyenne","Faible"))))</f>
        <v/>
      </c>
      <c r="Z188" s="57" t="str">
        <f>IF(X188="","",(L188-X188)/L188)</f>
        <v/>
      </c>
      <c r="AA188" s="54" t="str">
        <f>IF(AND(D188="",O188=""),"",IF(O188="",IF(N188="Oui","Action à définir",IF(N188="Non","Sans action","")),IF(R188="Annulée","Annulée",IF(R188="Réalisée",IF(X188="","À réévaluer","Réalisée"),IF(N(Q188)=0,"Échéance manquante",IF(Q188&lt;p_today,"En retard",IF(Q188-p_today&lt;=p_alert,"Échéance proche","Dans les délais")))))))</f>
        <v/>
      </c>
      <c r="AB188" s="58" t="str">
        <f>IF(AND(A188="",B188="",D188="",F188="",H188="",K188="",O188=""),"",IF(D188="","Mode de défaillance manquant",IF(AND(A188&lt;&gt;"",COUNTIF(am_num,A188)&gt;1),"N° en double",IF(F188="","Gravité G manquante",IF(NOT(IF(ISNUMBER(F188),AND(F188&gt;=1,F188&lt;=10,F188=INT(F188)),FALSE)),"G : entier de 1 à 10",IF(H188="","Occurrence O manquante",IF(NOT(IF(ISNUMBER(H188),AND(H188&gt;=1,H188&lt;=10,H188=INT(H188)),FALSE)),"O : entier de 1 à 10",IF(K188="","Détection D manquante",IF(NOT(IF(ISNUMBER(K188),AND(K188&gt;=1,K188&lt;=10,K188=INT(K188)),FALSE)),"D : entier de 1 à 10",IF(G188="","Cause manquante",IF(AND(O188&lt;&gt;"",P188=""),"Responsable manquant",IF(AND(R188&lt;&gt;"",O188=""),"Statut sans action",IF(AND(R188="Réalisée",N(S188)=0),"Date de réalisation manquante",IF(AND(T188&lt;&gt;"",IF(ISNUMBER(T188),T188&lt;0,TRUE)),"Coût invalide",IF(AND(COUNTBLANK(U188:W188)&gt;0,COUNTBLANK(U188:W188)&lt;3),"Cotation après action incomplète",IF(AND(COUNTBLANK(U188:W188)=0,X188=""),"G', O', D' : entiers de 1 à 10",IF(AND(X188&lt;&gt;"",X188&gt;L188),"IPR après action plus élevé","OK")))))))))))))))))</f>
        <v/>
      </c>
      <c r="AC188" s="59" t="str">
        <f>IF(OR(AA188="En retard",AA188="Échéance proche",AA188="Dans les délais",AA188="Échéance manquante",AA188="Action à définir",AA188="À réévaluer"),IF(OR(plan_who="",P188=plan_who),IF(N(Q188)&gt;0,Q188,99999)*1000+ROW(),""),"")</f>
        <v/>
      </c>
      <c r="AD188" s="59" t="str">
        <f>IF(L188="","",L188*1000+1000-ROW())</f>
        <v/>
      </c>
      <c r="AE188" s="59" t="str">
        <f>IF(IF(AA188="En retard",1,IF(AA188="Action à définir",2,IF(AA188="Échéance manquante",3,IF(AA188="Échéance proche",4,IF(AA188="À réévaluer",5,0)))))=0,"",IF(AA188="En retard",1,IF(AA188="Action à définir",2,IF(AA188="Échéance manquante",3,IF(AA188="Échéance proche",4,IF(AA188="À réévaluer",5,0)))))*100000000+IF(N(Q188)&gt;0,Q188,99999)*1000+ROW())</f>
        <v/>
      </c>
      <c r="AF188" s="59" t="str">
        <f>IF(X188&lt;&gt;"",X188,L188)</f>
        <v/>
      </c>
      <c r="AG188" s="59" t="str">
        <f>IF(X188&lt;&gt;"",Y188,IF(L188&lt;&gt;"",M188,""))</f>
        <v/>
      </c>
      <c r="AH188" s="59" t="str">
        <f>IF(L188="","",IF(X188&lt;&gt;"",U188,F188))</f>
        <v/>
      </c>
      <c r="AI188" s="59" t="str">
        <f>IF(L188="","",IF(X188&lt;&gt;"",V188,H188))</f>
        <v/>
      </c>
    </row>
    <row r="189" ht="30" customHeight="1">
      <c r="A189" s="50" t="n"/>
      <c r="B189" s="51" t="n"/>
      <c r="C189" s="51" t="n"/>
      <c r="D189" s="51" t="n"/>
      <c r="E189" s="51" t="n"/>
      <c r="F189" s="52" t="n"/>
      <c r="G189" s="51" t="n"/>
      <c r="H189" s="52" t="n"/>
      <c r="I189" s="51" t="n"/>
      <c r="J189" s="51" t="n"/>
      <c r="K189" s="52" t="n"/>
      <c r="L189" s="53" t="str">
        <f>IF(AND(IF(ISNUMBER(F189),AND(F189&gt;=1,F189&lt;=10,F189=INT(F189)),FALSE),IF(ISNUMBER(H189),AND(H189&gt;=1,H189&lt;=10,H189=INT(H189)),FALSE),IF(ISNUMBER(K189),AND(K189&gt;=1,K189&lt;=10,K189=INT(K189)),FALSE)),F189*H189*K189,"")</f>
        <v/>
      </c>
      <c r="M189" s="54" t="str">
        <f>IF(L189="",IF(D189="","","À coter"),IF(OR(F189&gt;=p_gmin,L189&gt;=p_ipr_crit),"Critique",IF(L189&gt;=p_ipr_act,"Élevée",IF(L189&gt;=p_ipr_watch,"Moyenne","Faible"))))</f>
        <v/>
      </c>
      <c r="N189" s="54" t="str">
        <f>IF(OR(M189="",M189="À coter"),"",IF(OR(M189="Critique",M189="Élevée"),"Oui","Non"))</f>
        <v/>
      </c>
      <c r="O189" s="51" t="n"/>
      <c r="P189" s="51" t="n"/>
      <c r="Q189" s="55" t="n"/>
      <c r="R189" s="50" t="n"/>
      <c r="S189" s="55" t="n"/>
      <c r="T189" s="56" t="n"/>
      <c r="U189" s="52" t="n"/>
      <c r="V189" s="52" t="n"/>
      <c r="W189" s="52" t="n"/>
      <c r="X189" s="53" t="str">
        <f>IF(AND(L189&lt;&gt;"",IF(ISNUMBER(U189),AND(U189&gt;=1,U189&lt;=10,U189=INT(U189)),FALSE),IF(ISNUMBER(V189),AND(V189&gt;=1,V189&lt;=10,V189=INT(V189)),FALSE),IF(ISNUMBER(W189),AND(W189&gt;=1,W189&lt;=10,W189=INT(W189)),FALSE)),U189*V189*W189,"")</f>
        <v/>
      </c>
      <c r="Y189" s="54" t="str">
        <f>IF(X189="","",IF(OR(U189&gt;=p_gmin,X189&gt;=p_ipr_crit),"Critique",IF(X189&gt;=p_ipr_act,"Élevée",IF(X189&gt;=p_ipr_watch,"Moyenne","Faible"))))</f>
        <v/>
      </c>
      <c r="Z189" s="57" t="str">
        <f>IF(X189="","",(L189-X189)/L189)</f>
        <v/>
      </c>
      <c r="AA189" s="54" t="str">
        <f>IF(AND(D189="",O189=""),"",IF(O189="",IF(N189="Oui","Action à définir",IF(N189="Non","Sans action","")),IF(R189="Annulée","Annulée",IF(R189="Réalisée",IF(X189="","À réévaluer","Réalisée"),IF(N(Q189)=0,"Échéance manquante",IF(Q189&lt;p_today,"En retard",IF(Q189-p_today&lt;=p_alert,"Échéance proche","Dans les délais")))))))</f>
        <v/>
      </c>
      <c r="AB189" s="58" t="str">
        <f>IF(AND(A189="",B189="",D189="",F189="",H189="",K189="",O189=""),"",IF(D189="","Mode de défaillance manquant",IF(AND(A189&lt;&gt;"",COUNTIF(am_num,A189)&gt;1),"N° en double",IF(F189="","Gravité G manquante",IF(NOT(IF(ISNUMBER(F189),AND(F189&gt;=1,F189&lt;=10,F189=INT(F189)),FALSE)),"G : entier de 1 à 10",IF(H189="","Occurrence O manquante",IF(NOT(IF(ISNUMBER(H189),AND(H189&gt;=1,H189&lt;=10,H189=INT(H189)),FALSE)),"O : entier de 1 à 10",IF(K189="","Détection D manquante",IF(NOT(IF(ISNUMBER(K189),AND(K189&gt;=1,K189&lt;=10,K189=INT(K189)),FALSE)),"D : entier de 1 à 10",IF(G189="","Cause manquante",IF(AND(O189&lt;&gt;"",P189=""),"Responsable manquant",IF(AND(R189&lt;&gt;"",O189=""),"Statut sans action",IF(AND(R189="Réalisée",N(S189)=0),"Date de réalisation manquante",IF(AND(T189&lt;&gt;"",IF(ISNUMBER(T189),T189&lt;0,TRUE)),"Coût invalide",IF(AND(COUNTBLANK(U189:W189)&gt;0,COUNTBLANK(U189:W189)&lt;3),"Cotation après action incomplète",IF(AND(COUNTBLANK(U189:W189)=0,X189=""),"G', O', D' : entiers de 1 à 10",IF(AND(X189&lt;&gt;"",X189&gt;L189),"IPR après action plus élevé","OK")))))))))))))))))</f>
        <v/>
      </c>
      <c r="AC189" s="59" t="str">
        <f>IF(OR(AA189="En retard",AA189="Échéance proche",AA189="Dans les délais",AA189="Échéance manquante",AA189="Action à définir",AA189="À réévaluer"),IF(OR(plan_who="",P189=plan_who),IF(N(Q189)&gt;0,Q189,99999)*1000+ROW(),""),"")</f>
        <v/>
      </c>
      <c r="AD189" s="59" t="str">
        <f>IF(L189="","",L189*1000+1000-ROW())</f>
        <v/>
      </c>
      <c r="AE189" s="59" t="str">
        <f>IF(IF(AA189="En retard",1,IF(AA189="Action à définir",2,IF(AA189="Échéance manquante",3,IF(AA189="Échéance proche",4,IF(AA189="À réévaluer",5,0)))))=0,"",IF(AA189="En retard",1,IF(AA189="Action à définir",2,IF(AA189="Échéance manquante",3,IF(AA189="Échéance proche",4,IF(AA189="À réévaluer",5,0)))))*100000000+IF(N(Q189)&gt;0,Q189,99999)*1000+ROW())</f>
        <v/>
      </c>
      <c r="AF189" s="59" t="str">
        <f>IF(X189&lt;&gt;"",X189,L189)</f>
        <v/>
      </c>
      <c r="AG189" s="59" t="str">
        <f>IF(X189&lt;&gt;"",Y189,IF(L189&lt;&gt;"",M189,""))</f>
        <v/>
      </c>
      <c r="AH189" s="59" t="str">
        <f>IF(L189="","",IF(X189&lt;&gt;"",U189,F189))</f>
        <v/>
      </c>
      <c r="AI189" s="59" t="str">
        <f>IF(L189="","",IF(X189&lt;&gt;"",V189,H189))</f>
        <v/>
      </c>
    </row>
    <row r="190" ht="30" customHeight="1">
      <c r="A190" s="50" t="n"/>
      <c r="B190" s="51" t="n"/>
      <c r="C190" s="51" t="n"/>
      <c r="D190" s="51" t="n"/>
      <c r="E190" s="51" t="n"/>
      <c r="F190" s="52" t="n"/>
      <c r="G190" s="51" t="n"/>
      <c r="H190" s="52" t="n"/>
      <c r="I190" s="51" t="n"/>
      <c r="J190" s="51" t="n"/>
      <c r="K190" s="52" t="n"/>
      <c r="L190" s="53" t="str">
        <f>IF(AND(IF(ISNUMBER(F190),AND(F190&gt;=1,F190&lt;=10,F190=INT(F190)),FALSE),IF(ISNUMBER(H190),AND(H190&gt;=1,H190&lt;=10,H190=INT(H190)),FALSE),IF(ISNUMBER(K190),AND(K190&gt;=1,K190&lt;=10,K190=INT(K190)),FALSE)),F190*H190*K190,"")</f>
        <v/>
      </c>
      <c r="M190" s="54" t="str">
        <f>IF(L190="",IF(D190="","","À coter"),IF(OR(F190&gt;=p_gmin,L190&gt;=p_ipr_crit),"Critique",IF(L190&gt;=p_ipr_act,"Élevée",IF(L190&gt;=p_ipr_watch,"Moyenne","Faible"))))</f>
        <v/>
      </c>
      <c r="N190" s="54" t="str">
        <f>IF(OR(M190="",M190="À coter"),"",IF(OR(M190="Critique",M190="Élevée"),"Oui","Non"))</f>
        <v/>
      </c>
      <c r="O190" s="51" t="n"/>
      <c r="P190" s="51" t="n"/>
      <c r="Q190" s="55" t="n"/>
      <c r="R190" s="50" t="n"/>
      <c r="S190" s="55" t="n"/>
      <c r="T190" s="56" t="n"/>
      <c r="U190" s="52" t="n"/>
      <c r="V190" s="52" t="n"/>
      <c r="W190" s="52" t="n"/>
      <c r="X190" s="53" t="str">
        <f>IF(AND(L190&lt;&gt;"",IF(ISNUMBER(U190),AND(U190&gt;=1,U190&lt;=10,U190=INT(U190)),FALSE),IF(ISNUMBER(V190),AND(V190&gt;=1,V190&lt;=10,V190=INT(V190)),FALSE),IF(ISNUMBER(W190),AND(W190&gt;=1,W190&lt;=10,W190=INT(W190)),FALSE)),U190*V190*W190,"")</f>
        <v/>
      </c>
      <c r="Y190" s="54" t="str">
        <f>IF(X190="","",IF(OR(U190&gt;=p_gmin,X190&gt;=p_ipr_crit),"Critique",IF(X190&gt;=p_ipr_act,"Élevée",IF(X190&gt;=p_ipr_watch,"Moyenne","Faible"))))</f>
        <v/>
      </c>
      <c r="Z190" s="57" t="str">
        <f>IF(X190="","",(L190-X190)/L190)</f>
        <v/>
      </c>
      <c r="AA190" s="54" t="str">
        <f>IF(AND(D190="",O190=""),"",IF(O190="",IF(N190="Oui","Action à définir",IF(N190="Non","Sans action","")),IF(R190="Annulée","Annulée",IF(R190="Réalisée",IF(X190="","À réévaluer","Réalisée"),IF(N(Q190)=0,"Échéance manquante",IF(Q190&lt;p_today,"En retard",IF(Q190-p_today&lt;=p_alert,"Échéance proche","Dans les délais")))))))</f>
        <v/>
      </c>
      <c r="AB190" s="58" t="str">
        <f>IF(AND(A190="",B190="",D190="",F190="",H190="",K190="",O190=""),"",IF(D190="","Mode de défaillance manquant",IF(AND(A190&lt;&gt;"",COUNTIF(am_num,A190)&gt;1),"N° en double",IF(F190="","Gravité G manquante",IF(NOT(IF(ISNUMBER(F190),AND(F190&gt;=1,F190&lt;=10,F190=INT(F190)),FALSE)),"G : entier de 1 à 10",IF(H190="","Occurrence O manquante",IF(NOT(IF(ISNUMBER(H190),AND(H190&gt;=1,H190&lt;=10,H190=INT(H190)),FALSE)),"O : entier de 1 à 10",IF(K190="","Détection D manquante",IF(NOT(IF(ISNUMBER(K190),AND(K190&gt;=1,K190&lt;=10,K190=INT(K190)),FALSE)),"D : entier de 1 à 10",IF(G190="","Cause manquante",IF(AND(O190&lt;&gt;"",P190=""),"Responsable manquant",IF(AND(R190&lt;&gt;"",O190=""),"Statut sans action",IF(AND(R190="Réalisée",N(S190)=0),"Date de réalisation manquante",IF(AND(T190&lt;&gt;"",IF(ISNUMBER(T190),T190&lt;0,TRUE)),"Coût invalide",IF(AND(COUNTBLANK(U190:W190)&gt;0,COUNTBLANK(U190:W190)&lt;3),"Cotation après action incomplète",IF(AND(COUNTBLANK(U190:W190)=0,X190=""),"G', O', D' : entiers de 1 à 10",IF(AND(X190&lt;&gt;"",X190&gt;L190),"IPR après action plus élevé","OK")))))))))))))))))</f>
        <v/>
      </c>
      <c r="AC190" s="59" t="str">
        <f>IF(OR(AA190="En retard",AA190="Échéance proche",AA190="Dans les délais",AA190="Échéance manquante",AA190="Action à définir",AA190="À réévaluer"),IF(OR(plan_who="",P190=plan_who),IF(N(Q190)&gt;0,Q190,99999)*1000+ROW(),""),"")</f>
        <v/>
      </c>
      <c r="AD190" s="59" t="str">
        <f>IF(L190="","",L190*1000+1000-ROW())</f>
        <v/>
      </c>
      <c r="AE190" s="59" t="str">
        <f>IF(IF(AA190="En retard",1,IF(AA190="Action à définir",2,IF(AA190="Échéance manquante",3,IF(AA190="Échéance proche",4,IF(AA190="À réévaluer",5,0)))))=0,"",IF(AA190="En retard",1,IF(AA190="Action à définir",2,IF(AA190="Échéance manquante",3,IF(AA190="Échéance proche",4,IF(AA190="À réévaluer",5,0)))))*100000000+IF(N(Q190)&gt;0,Q190,99999)*1000+ROW())</f>
        <v/>
      </c>
      <c r="AF190" s="59" t="str">
        <f>IF(X190&lt;&gt;"",X190,L190)</f>
        <v/>
      </c>
      <c r="AG190" s="59" t="str">
        <f>IF(X190&lt;&gt;"",Y190,IF(L190&lt;&gt;"",M190,""))</f>
        <v/>
      </c>
      <c r="AH190" s="59" t="str">
        <f>IF(L190="","",IF(X190&lt;&gt;"",U190,F190))</f>
        <v/>
      </c>
      <c r="AI190" s="59" t="str">
        <f>IF(L190="","",IF(X190&lt;&gt;"",V190,H190))</f>
        <v/>
      </c>
    </row>
    <row r="191" ht="30" customHeight="1">
      <c r="A191" s="50" t="n"/>
      <c r="B191" s="51" t="n"/>
      <c r="C191" s="51" t="n"/>
      <c r="D191" s="51" t="n"/>
      <c r="E191" s="51" t="n"/>
      <c r="F191" s="52" t="n"/>
      <c r="G191" s="51" t="n"/>
      <c r="H191" s="52" t="n"/>
      <c r="I191" s="51" t="n"/>
      <c r="J191" s="51" t="n"/>
      <c r="K191" s="52" t="n"/>
      <c r="L191" s="53" t="str">
        <f>IF(AND(IF(ISNUMBER(F191),AND(F191&gt;=1,F191&lt;=10,F191=INT(F191)),FALSE),IF(ISNUMBER(H191),AND(H191&gt;=1,H191&lt;=10,H191=INT(H191)),FALSE),IF(ISNUMBER(K191),AND(K191&gt;=1,K191&lt;=10,K191=INT(K191)),FALSE)),F191*H191*K191,"")</f>
        <v/>
      </c>
      <c r="M191" s="54" t="str">
        <f>IF(L191="",IF(D191="","","À coter"),IF(OR(F191&gt;=p_gmin,L191&gt;=p_ipr_crit),"Critique",IF(L191&gt;=p_ipr_act,"Élevée",IF(L191&gt;=p_ipr_watch,"Moyenne","Faible"))))</f>
        <v/>
      </c>
      <c r="N191" s="54" t="str">
        <f>IF(OR(M191="",M191="À coter"),"",IF(OR(M191="Critique",M191="Élevée"),"Oui","Non"))</f>
        <v/>
      </c>
      <c r="O191" s="51" t="n"/>
      <c r="P191" s="51" t="n"/>
      <c r="Q191" s="55" t="n"/>
      <c r="R191" s="50" t="n"/>
      <c r="S191" s="55" t="n"/>
      <c r="T191" s="56" t="n"/>
      <c r="U191" s="52" t="n"/>
      <c r="V191" s="52" t="n"/>
      <c r="W191" s="52" t="n"/>
      <c r="X191" s="53" t="str">
        <f>IF(AND(L191&lt;&gt;"",IF(ISNUMBER(U191),AND(U191&gt;=1,U191&lt;=10,U191=INT(U191)),FALSE),IF(ISNUMBER(V191),AND(V191&gt;=1,V191&lt;=10,V191=INT(V191)),FALSE),IF(ISNUMBER(W191),AND(W191&gt;=1,W191&lt;=10,W191=INT(W191)),FALSE)),U191*V191*W191,"")</f>
        <v/>
      </c>
      <c r="Y191" s="54" t="str">
        <f>IF(X191="","",IF(OR(U191&gt;=p_gmin,X191&gt;=p_ipr_crit),"Critique",IF(X191&gt;=p_ipr_act,"Élevée",IF(X191&gt;=p_ipr_watch,"Moyenne","Faible"))))</f>
        <v/>
      </c>
      <c r="Z191" s="57" t="str">
        <f>IF(X191="","",(L191-X191)/L191)</f>
        <v/>
      </c>
      <c r="AA191" s="54" t="str">
        <f>IF(AND(D191="",O191=""),"",IF(O191="",IF(N191="Oui","Action à définir",IF(N191="Non","Sans action","")),IF(R191="Annulée","Annulée",IF(R191="Réalisée",IF(X191="","À réévaluer","Réalisée"),IF(N(Q191)=0,"Échéance manquante",IF(Q191&lt;p_today,"En retard",IF(Q191-p_today&lt;=p_alert,"Échéance proche","Dans les délais")))))))</f>
        <v/>
      </c>
      <c r="AB191" s="58" t="str">
        <f>IF(AND(A191="",B191="",D191="",F191="",H191="",K191="",O191=""),"",IF(D191="","Mode de défaillance manquant",IF(AND(A191&lt;&gt;"",COUNTIF(am_num,A191)&gt;1),"N° en double",IF(F191="","Gravité G manquante",IF(NOT(IF(ISNUMBER(F191),AND(F191&gt;=1,F191&lt;=10,F191=INT(F191)),FALSE)),"G : entier de 1 à 10",IF(H191="","Occurrence O manquante",IF(NOT(IF(ISNUMBER(H191),AND(H191&gt;=1,H191&lt;=10,H191=INT(H191)),FALSE)),"O : entier de 1 à 10",IF(K191="","Détection D manquante",IF(NOT(IF(ISNUMBER(K191),AND(K191&gt;=1,K191&lt;=10,K191=INT(K191)),FALSE)),"D : entier de 1 à 10",IF(G191="","Cause manquante",IF(AND(O191&lt;&gt;"",P191=""),"Responsable manquant",IF(AND(R191&lt;&gt;"",O191=""),"Statut sans action",IF(AND(R191="Réalisée",N(S191)=0),"Date de réalisation manquante",IF(AND(T191&lt;&gt;"",IF(ISNUMBER(T191),T191&lt;0,TRUE)),"Coût invalide",IF(AND(COUNTBLANK(U191:W191)&gt;0,COUNTBLANK(U191:W191)&lt;3),"Cotation après action incomplète",IF(AND(COUNTBLANK(U191:W191)=0,X191=""),"G', O', D' : entiers de 1 à 10",IF(AND(X191&lt;&gt;"",X191&gt;L191),"IPR après action plus élevé","OK")))))))))))))))))</f>
        <v/>
      </c>
      <c r="AC191" s="59" t="str">
        <f>IF(OR(AA191="En retard",AA191="Échéance proche",AA191="Dans les délais",AA191="Échéance manquante",AA191="Action à définir",AA191="À réévaluer"),IF(OR(plan_who="",P191=plan_who),IF(N(Q191)&gt;0,Q191,99999)*1000+ROW(),""),"")</f>
        <v/>
      </c>
      <c r="AD191" s="59" t="str">
        <f>IF(L191="","",L191*1000+1000-ROW())</f>
        <v/>
      </c>
      <c r="AE191" s="59" t="str">
        <f>IF(IF(AA191="En retard",1,IF(AA191="Action à définir",2,IF(AA191="Échéance manquante",3,IF(AA191="Échéance proche",4,IF(AA191="À réévaluer",5,0)))))=0,"",IF(AA191="En retard",1,IF(AA191="Action à définir",2,IF(AA191="Échéance manquante",3,IF(AA191="Échéance proche",4,IF(AA191="À réévaluer",5,0)))))*100000000+IF(N(Q191)&gt;0,Q191,99999)*1000+ROW())</f>
        <v/>
      </c>
      <c r="AF191" s="59" t="str">
        <f>IF(X191&lt;&gt;"",X191,L191)</f>
        <v/>
      </c>
      <c r="AG191" s="59" t="str">
        <f>IF(X191&lt;&gt;"",Y191,IF(L191&lt;&gt;"",M191,""))</f>
        <v/>
      </c>
      <c r="AH191" s="59" t="str">
        <f>IF(L191="","",IF(X191&lt;&gt;"",U191,F191))</f>
        <v/>
      </c>
      <c r="AI191" s="59" t="str">
        <f>IF(L191="","",IF(X191&lt;&gt;"",V191,H191))</f>
        <v/>
      </c>
    </row>
    <row r="192" ht="30" customHeight="1">
      <c r="A192" s="50" t="n"/>
      <c r="B192" s="51" t="n"/>
      <c r="C192" s="51" t="n"/>
      <c r="D192" s="51" t="n"/>
      <c r="E192" s="51" t="n"/>
      <c r="F192" s="52" t="n"/>
      <c r="G192" s="51" t="n"/>
      <c r="H192" s="52" t="n"/>
      <c r="I192" s="51" t="n"/>
      <c r="J192" s="51" t="n"/>
      <c r="K192" s="52" t="n"/>
      <c r="L192" s="53" t="str">
        <f>IF(AND(IF(ISNUMBER(F192),AND(F192&gt;=1,F192&lt;=10,F192=INT(F192)),FALSE),IF(ISNUMBER(H192),AND(H192&gt;=1,H192&lt;=10,H192=INT(H192)),FALSE),IF(ISNUMBER(K192),AND(K192&gt;=1,K192&lt;=10,K192=INT(K192)),FALSE)),F192*H192*K192,"")</f>
        <v/>
      </c>
      <c r="M192" s="54" t="str">
        <f>IF(L192="",IF(D192="","","À coter"),IF(OR(F192&gt;=p_gmin,L192&gt;=p_ipr_crit),"Critique",IF(L192&gt;=p_ipr_act,"Élevée",IF(L192&gt;=p_ipr_watch,"Moyenne","Faible"))))</f>
        <v/>
      </c>
      <c r="N192" s="54" t="str">
        <f>IF(OR(M192="",M192="À coter"),"",IF(OR(M192="Critique",M192="Élevée"),"Oui","Non"))</f>
        <v/>
      </c>
      <c r="O192" s="51" t="n"/>
      <c r="P192" s="51" t="n"/>
      <c r="Q192" s="55" t="n"/>
      <c r="R192" s="50" t="n"/>
      <c r="S192" s="55" t="n"/>
      <c r="T192" s="56" t="n"/>
      <c r="U192" s="52" t="n"/>
      <c r="V192" s="52" t="n"/>
      <c r="W192" s="52" t="n"/>
      <c r="X192" s="53" t="str">
        <f>IF(AND(L192&lt;&gt;"",IF(ISNUMBER(U192),AND(U192&gt;=1,U192&lt;=10,U192=INT(U192)),FALSE),IF(ISNUMBER(V192),AND(V192&gt;=1,V192&lt;=10,V192=INT(V192)),FALSE),IF(ISNUMBER(W192),AND(W192&gt;=1,W192&lt;=10,W192=INT(W192)),FALSE)),U192*V192*W192,"")</f>
        <v/>
      </c>
      <c r="Y192" s="54" t="str">
        <f>IF(X192="","",IF(OR(U192&gt;=p_gmin,X192&gt;=p_ipr_crit),"Critique",IF(X192&gt;=p_ipr_act,"Élevée",IF(X192&gt;=p_ipr_watch,"Moyenne","Faible"))))</f>
        <v/>
      </c>
      <c r="Z192" s="57" t="str">
        <f>IF(X192="","",(L192-X192)/L192)</f>
        <v/>
      </c>
      <c r="AA192" s="54" t="str">
        <f>IF(AND(D192="",O192=""),"",IF(O192="",IF(N192="Oui","Action à définir",IF(N192="Non","Sans action","")),IF(R192="Annulée","Annulée",IF(R192="Réalisée",IF(X192="","À réévaluer","Réalisée"),IF(N(Q192)=0,"Échéance manquante",IF(Q192&lt;p_today,"En retard",IF(Q192-p_today&lt;=p_alert,"Échéance proche","Dans les délais")))))))</f>
        <v/>
      </c>
      <c r="AB192" s="58" t="str">
        <f>IF(AND(A192="",B192="",D192="",F192="",H192="",K192="",O192=""),"",IF(D192="","Mode de défaillance manquant",IF(AND(A192&lt;&gt;"",COUNTIF(am_num,A192)&gt;1),"N° en double",IF(F192="","Gravité G manquante",IF(NOT(IF(ISNUMBER(F192),AND(F192&gt;=1,F192&lt;=10,F192=INT(F192)),FALSE)),"G : entier de 1 à 10",IF(H192="","Occurrence O manquante",IF(NOT(IF(ISNUMBER(H192),AND(H192&gt;=1,H192&lt;=10,H192=INT(H192)),FALSE)),"O : entier de 1 à 10",IF(K192="","Détection D manquante",IF(NOT(IF(ISNUMBER(K192),AND(K192&gt;=1,K192&lt;=10,K192=INT(K192)),FALSE)),"D : entier de 1 à 10",IF(G192="","Cause manquante",IF(AND(O192&lt;&gt;"",P192=""),"Responsable manquant",IF(AND(R192&lt;&gt;"",O192=""),"Statut sans action",IF(AND(R192="Réalisée",N(S192)=0),"Date de réalisation manquante",IF(AND(T192&lt;&gt;"",IF(ISNUMBER(T192),T192&lt;0,TRUE)),"Coût invalide",IF(AND(COUNTBLANK(U192:W192)&gt;0,COUNTBLANK(U192:W192)&lt;3),"Cotation après action incomplète",IF(AND(COUNTBLANK(U192:W192)=0,X192=""),"G', O', D' : entiers de 1 à 10",IF(AND(X192&lt;&gt;"",X192&gt;L192),"IPR après action plus élevé","OK")))))))))))))))))</f>
        <v/>
      </c>
      <c r="AC192" s="59" t="str">
        <f>IF(OR(AA192="En retard",AA192="Échéance proche",AA192="Dans les délais",AA192="Échéance manquante",AA192="Action à définir",AA192="À réévaluer"),IF(OR(plan_who="",P192=plan_who),IF(N(Q192)&gt;0,Q192,99999)*1000+ROW(),""),"")</f>
        <v/>
      </c>
      <c r="AD192" s="59" t="str">
        <f>IF(L192="","",L192*1000+1000-ROW())</f>
        <v/>
      </c>
      <c r="AE192" s="59" t="str">
        <f>IF(IF(AA192="En retard",1,IF(AA192="Action à définir",2,IF(AA192="Échéance manquante",3,IF(AA192="Échéance proche",4,IF(AA192="À réévaluer",5,0)))))=0,"",IF(AA192="En retard",1,IF(AA192="Action à définir",2,IF(AA192="Échéance manquante",3,IF(AA192="Échéance proche",4,IF(AA192="À réévaluer",5,0)))))*100000000+IF(N(Q192)&gt;0,Q192,99999)*1000+ROW())</f>
        <v/>
      </c>
      <c r="AF192" s="59" t="str">
        <f>IF(X192&lt;&gt;"",X192,L192)</f>
        <v/>
      </c>
      <c r="AG192" s="59" t="str">
        <f>IF(X192&lt;&gt;"",Y192,IF(L192&lt;&gt;"",M192,""))</f>
        <v/>
      </c>
      <c r="AH192" s="59" t="str">
        <f>IF(L192="","",IF(X192&lt;&gt;"",U192,F192))</f>
        <v/>
      </c>
      <c r="AI192" s="59" t="str">
        <f>IF(L192="","",IF(X192&lt;&gt;"",V192,H192))</f>
        <v/>
      </c>
    </row>
    <row r="193" ht="30" customHeight="1">
      <c r="A193" s="50" t="n"/>
      <c r="B193" s="51" t="n"/>
      <c r="C193" s="51" t="n"/>
      <c r="D193" s="51" t="n"/>
      <c r="E193" s="51" t="n"/>
      <c r="F193" s="52" t="n"/>
      <c r="G193" s="51" t="n"/>
      <c r="H193" s="52" t="n"/>
      <c r="I193" s="51" t="n"/>
      <c r="J193" s="51" t="n"/>
      <c r="K193" s="52" t="n"/>
      <c r="L193" s="53" t="str">
        <f>IF(AND(IF(ISNUMBER(F193),AND(F193&gt;=1,F193&lt;=10,F193=INT(F193)),FALSE),IF(ISNUMBER(H193),AND(H193&gt;=1,H193&lt;=10,H193=INT(H193)),FALSE),IF(ISNUMBER(K193),AND(K193&gt;=1,K193&lt;=10,K193=INT(K193)),FALSE)),F193*H193*K193,"")</f>
        <v/>
      </c>
      <c r="M193" s="54" t="str">
        <f>IF(L193="",IF(D193="","","À coter"),IF(OR(F193&gt;=p_gmin,L193&gt;=p_ipr_crit),"Critique",IF(L193&gt;=p_ipr_act,"Élevée",IF(L193&gt;=p_ipr_watch,"Moyenne","Faible"))))</f>
        <v/>
      </c>
      <c r="N193" s="54" t="str">
        <f>IF(OR(M193="",M193="À coter"),"",IF(OR(M193="Critique",M193="Élevée"),"Oui","Non"))</f>
        <v/>
      </c>
      <c r="O193" s="51" t="n"/>
      <c r="P193" s="51" t="n"/>
      <c r="Q193" s="55" t="n"/>
      <c r="R193" s="50" t="n"/>
      <c r="S193" s="55" t="n"/>
      <c r="T193" s="56" t="n"/>
      <c r="U193" s="52" t="n"/>
      <c r="V193" s="52" t="n"/>
      <c r="W193" s="52" t="n"/>
      <c r="X193" s="53" t="str">
        <f>IF(AND(L193&lt;&gt;"",IF(ISNUMBER(U193),AND(U193&gt;=1,U193&lt;=10,U193=INT(U193)),FALSE),IF(ISNUMBER(V193),AND(V193&gt;=1,V193&lt;=10,V193=INT(V193)),FALSE),IF(ISNUMBER(W193),AND(W193&gt;=1,W193&lt;=10,W193=INT(W193)),FALSE)),U193*V193*W193,"")</f>
        <v/>
      </c>
      <c r="Y193" s="54" t="str">
        <f>IF(X193="","",IF(OR(U193&gt;=p_gmin,X193&gt;=p_ipr_crit),"Critique",IF(X193&gt;=p_ipr_act,"Élevée",IF(X193&gt;=p_ipr_watch,"Moyenne","Faible"))))</f>
        <v/>
      </c>
      <c r="Z193" s="57" t="str">
        <f>IF(X193="","",(L193-X193)/L193)</f>
        <v/>
      </c>
      <c r="AA193" s="54" t="str">
        <f>IF(AND(D193="",O193=""),"",IF(O193="",IF(N193="Oui","Action à définir",IF(N193="Non","Sans action","")),IF(R193="Annulée","Annulée",IF(R193="Réalisée",IF(X193="","À réévaluer","Réalisée"),IF(N(Q193)=0,"Échéance manquante",IF(Q193&lt;p_today,"En retard",IF(Q193-p_today&lt;=p_alert,"Échéance proche","Dans les délais")))))))</f>
        <v/>
      </c>
      <c r="AB193" s="58" t="str">
        <f>IF(AND(A193="",B193="",D193="",F193="",H193="",K193="",O193=""),"",IF(D193="","Mode de défaillance manquant",IF(AND(A193&lt;&gt;"",COUNTIF(am_num,A193)&gt;1),"N° en double",IF(F193="","Gravité G manquante",IF(NOT(IF(ISNUMBER(F193),AND(F193&gt;=1,F193&lt;=10,F193=INT(F193)),FALSE)),"G : entier de 1 à 10",IF(H193="","Occurrence O manquante",IF(NOT(IF(ISNUMBER(H193),AND(H193&gt;=1,H193&lt;=10,H193=INT(H193)),FALSE)),"O : entier de 1 à 10",IF(K193="","Détection D manquante",IF(NOT(IF(ISNUMBER(K193),AND(K193&gt;=1,K193&lt;=10,K193=INT(K193)),FALSE)),"D : entier de 1 à 10",IF(G193="","Cause manquante",IF(AND(O193&lt;&gt;"",P193=""),"Responsable manquant",IF(AND(R193&lt;&gt;"",O193=""),"Statut sans action",IF(AND(R193="Réalisée",N(S193)=0),"Date de réalisation manquante",IF(AND(T193&lt;&gt;"",IF(ISNUMBER(T193),T193&lt;0,TRUE)),"Coût invalide",IF(AND(COUNTBLANK(U193:W193)&gt;0,COUNTBLANK(U193:W193)&lt;3),"Cotation après action incomplète",IF(AND(COUNTBLANK(U193:W193)=0,X193=""),"G', O', D' : entiers de 1 à 10",IF(AND(X193&lt;&gt;"",X193&gt;L193),"IPR après action plus élevé","OK")))))))))))))))))</f>
        <v/>
      </c>
      <c r="AC193" s="59" t="str">
        <f>IF(OR(AA193="En retard",AA193="Échéance proche",AA193="Dans les délais",AA193="Échéance manquante",AA193="Action à définir",AA193="À réévaluer"),IF(OR(plan_who="",P193=plan_who),IF(N(Q193)&gt;0,Q193,99999)*1000+ROW(),""),"")</f>
        <v/>
      </c>
      <c r="AD193" s="59" t="str">
        <f>IF(L193="","",L193*1000+1000-ROW())</f>
        <v/>
      </c>
      <c r="AE193" s="59" t="str">
        <f>IF(IF(AA193="En retard",1,IF(AA193="Action à définir",2,IF(AA193="Échéance manquante",3,IF(AA193="Échéance proche",4,IF(AA193="À réévaluer",5,0)))))=0,"",IF(AA193="En retard",1,IF(AA193="Action à définir",2,IF(AA193="Échéance manquante",3,IF(AA193="Échéance proche",4,IF(AA193="À réévaluer",5,0)))))*100000000+IF(N(Q193)&gt;0,Q193,99999)*1000+ROW())</f>
        <v/>
      </c>
      <c r="AF193" s="59" t="str">
        <f>IF(X193&lt;&gt;"",X193,L193)</f>
        <v/>
      </c>
      <c r="AG193" s="59" t="str">
        <f>IF(X193&lt;&gt;"",Y193,IF(L193&lt;&gt;"",M193,""))</f>
        <v/>
      </c>
      <c r="AH193" s="59" t="str">
        <f>IF(L193="","",IF(X193&lt;&gt;"",U193,F193))</f>
        <v/>
      </c>
      <c r="AI193" s="59" t="str">
        <f>IF(L193="","",IF(X193&lt;&gt;"",V193,H193))</f>
        <v/>
      </c>
    </row>
    <row r="194" ht="30" customHeight="1">
      <c r="A194" s="50" t="n"/>
      <c r="B194" s="51" t="n"/>
      <c r="C194" s="51" t="n"/>
      <c r="D194" s="51" t="n"/>
      <c r="E194" s="51" t="n"/>
      <c r="F194" s="52" t="n"/>
      <c r="G194" s="51" t="n"/>
      <c r="H194" s="52" t="n"/>
      <c r="I194" s="51" t="n"/>
      <c r="J194" s="51" t="n"/>
      <c r="K194" s="52" t="n"/>
      <c r="L194" s="53" t="str">
        <f>IF(AND(IF(ISNUMBER(F194),AND(F194&gt;=1,F194&lt;=10,F194=INT(F194)),FALSE),IF(ISNUMBER(H194),AND(H194&gt;=1,H194&lt;=10,H194=INT(H194)),FALSE),IF(ISNUMBER(K194),AND(K194&gt;=1,K194&lt;=10,K194=INT(K194)),FALSE)),F194*H194*K194,"")</f>
        <v/>
      </c>
      <c r="M194" s="54" t="str">
        <f>IF(L194="",IF(D194="","","À coter"),IF(OR(F194&gt;=p_gmin,L194&gt;=p_ipr_crit),"Critique",IF(L194&gt;=p_ipr_act,"Élevée",IF(L194&gt;=p_ipr_watch,"Moyenne","Faible"))))</f>
        <v/>
      </c>
      <c r="N194" s="54" t="str">
        <f>IF(OR(M194="",M194="À coter"),"",IF(OR(M194="Critique",M194="Élevée"),"Oui","Non"))</f>
        <v/>
      </c>
      <c r="O194" s="51" t="n"/>
      <c r="P194" s="51" t="n"/>
      <c r="Q194" s="55" t="n"/>
      <c r="R194" s="50" t="n"/>
      <c r="S194" s="55" t="n"/>
      <c r="T194" s="56" t="n"/>
      <c r="U194" s="52" t="n"/>
      <c r="V194" s="52" t="n"/>
      <c r="W194" s="52" t="n"/>
      <c r="X194" s="53" t="str">
        <f>IF(AND(L194&lt;&gt;"",IF(ISNUMBER(U194),AND(U194&gt;=1,U194&lt;=10,U194=INT(U194)),FALSE),IF(ISNUMBER(V194),AND(V194&gt;=1,V194&lt;=10,V194=INT(V194)),FALSE),IF(ISNUMBER(W194),AND(W194&gt;=1,W194&lt;=10,W194=INT(W194)),FALSE)),U194*V194*W194,"")</f>
        <v/>
      </c>
      <c r="Y194" s="54" t="str">
        <f>IF(X194="","",IF(OR(U194&gt;=p_gmin,X194&gt;=p_ipr_crit),"Critique",IF(X194&gt;=p_ipr_act,"Élevée",IF(X194&gt;=p_ipr_watch,"Moyenne","Faible"))))</f>
        <v/>
      </c>
      <c r="Z194" s="57" t="str">
        <f>IF(X194="","",(L194-X194)/L194)</f>
        <v/>
      </c>
      <c r="AA194" s="54" t="str">
        <f>IF(AND(D194="",O194=""),"",IF(O194="",IF(N194="Oui","Action à définir",IF(N194="Non","Sans action","")),IF(R194="Annulée","Annulée",IF(R194="Réalisée",IF(X194="","À réévaluer","Réalisée"),IF(N(Q194)=0,"Échéance manquante",IF(Q194&lt;p_today,"En retard",IF(Q194-p_today&lt;=p_alert,"Échéance proche","Dans les délais")))))))</f>
        <v/>
      </c>
      <c r="AB194" s="58" t="str">
        <f>IF(AND(A194="",B194="",D194="",F194="",H194="",K194="",O194=""),"",IF(D194="","Mode de défaillance manquant",IF(AND(A194&lt;&gt;"",COUNTIF(am_num,A194)&gt;1),"N° en double",IF(F194="","Gravité G manquante",IF(NOT(IF(ISNUMBER(F194),AND(F194&gt;=1,F194&lt;=10,F194=INT(F194)),FALSE)),"G : entier de 1 à 10",IF(H194="","Occurrence O manquante",IF(NOT(IF(ISNUMBER(H194),AND(H194&gt;=1,H194&lt;=10,H194=INT(H194)),FALSE)),"O : entier de 1 à 10",IF(K194="","Détection D manquante",IF(NOT(IF(ISNUMBER(K194),AND(K194&gt;=1,K194&lt;=10,K194=INT(K194)),FALSE)),"D : entier de 1 à 10",IF(G194="","Cause manquante",IF(AND(O194&lt;&gt;"",P194=""),"Responsable manquant",IF(AND(R194&lt;&gt;"",O194=""),"Statut sans action",IF(AND(R194="Réalisée",N(S194)=0),"Date de réalisation manquante",IF(AND(T194&lt;&gt;"",IF(ISNUMBER(T194),T194&lt;0,TRUE)),"Coût invalide",IF(AND(COUNTBLANK(U194:W194)&gt;0,COUNTBLANK(U194:W194)&lt;3),"Cotation après action incomplète",IF(AND(COUNTBLANK(U194:W194)=0,X194=""),"G', O', D' : entiers de 1 à 10",IF(AND(X194&lt;&gt;"",X194&gt;L194),"IPR après action plus élevé","OK")))))))))))))))))</f>
        <v/>
      </c>
      <c r="AC194" s="59" t="str">
        <f>IF(OR(AA194="En retard",AA194="Échéance proche",AA194="Dans les délais",AA194="Échéance manquante",AA194="Action à définir",AA194="À réévaluer"),IF(OR(plan_who="",P194=plan_who),IF(N(Q194)&gt;0,Q194,99999)*1000+ROW(),""),"")</f>
        <v/>
      </c>
      <c r="AD194" s="59" t="str">
        <f>IF(L194="","",L194*1000+1000-ROW())</f>
        <v/>
      </c>
      <c r="AE194" s="59" t="str">
        <f>IF(IF(AA194="En retard",1,IF(AA194="Action à définir",2,IF(AA194="Échéance manquante",3,IF(AA194="Échéance proche",4,IF(AA194="À réévaluer",5,0)))))=0,"",IF(AA194="En retard",1,IF(AA194="Action à définir",2,IF(AA194="Échéance manquante",3,IF(AA194="Échéance proche",4,IF(AA194="À réévaluer",5,0)))))*100000000+IF(N(Q194)&gt;0,Q194,99999)*1000+ROW())</f>
        <v/>
      </c>
      <c r="AF194" s="59" t="str">
        <f>IF(X194&lt;&gt;"",X194,L194)</f>
        <v/>
      </c>
      <c r="AG194" s="59" t="str">
        <f>IF(X194&lt;&gt;"",Y194,IF(L194&lt;&gt;"",M194,""))</f>
        <v/>
      </c>
      <c r="AH194" s="59" t="str">
        <f>IF(L194="","",IF(X194&lt;&gt;"",U194,F194))</f>
        <v/>
      </c>
      <c r="AI194" s="59" t="str">
        <f>IF(L194="","",IF(X194&lt;&gt;"",V194,H194))</f>
        <v/>
      </c>
    </row>
    <row r="195" ht="30" customHeight="1">
      <c r="A195" s="50" t="n"/>
      <c r="B195" s="51" t="n"/>
      <c r="C195" s="51" t="n"/>
      <c r="D195" s="51" t="n"/>
      <c r="E195" s="51" t="n"/>
      <c r="F195" s="52" t="n"/>
      <c r="G195" s="51" t="n"/>
      <c r="H195" s="52" t="n"/>
      <c r="I195" s="51" t="n"/>
      <c r="J195" s="51" t="n"/>
      <c r="K195" s="52" t="n"/>
      <c r="L195" s="53" t="str">
        <f>IF(AND(IF(ISNUMBER(F195),AND(F195&gt;=1,F195&lt;=10,F195=INT(F195)),FALSE),IF(ISNUMBER(H195),AND(H195&gt;=1,H195&lt;=10,H195=INT(H195)),FALSE),IF(ISNUMBER(K195),AND(K195&gt;=1,K195&lt;=10,K195=INT(K195)),FALSE)),F195*H195*K195,"")</f>
        <v/>
      </c>
      <c r="M195" s="54" t="str">
        <f>IF(L195="",IF(D195="","","À coter"),IF(OR(F195&gt;=p_gmin,L195&gt;=p_ipr_crit),"Critique",IF(L195&gt;=p_ipr_act,"Élevée",IF(L195&gt;=p_ipr_watch,"Moyenne","Faible"))))</f>
        <v/>
      </c>
      <c r="N195" s="54" t="str">
        <f>IF(OR(M195="",M195="À coter"),"",IF(OR(M195="Critique",M195="Élevée"),"Oui","Non"))</f>
        <v/>
      </c>
      <c r="O195" s="51" t="n"/>
      <c r="P195" s="51" t="n"/>
      <c r="Q195" s="55" t="n"/>
      <c r="R195" s="50" t="n"/>
      <c r="S195" s="55" t="n"/>
      <c r="T195" s="56" t="n"/>
      <c r="U195" s="52" t="n"/>
      <c r="V195" s="52" t="n"/>
      <c r="W195" s="52" t="n"/>
      <c r="X195" s="53" t="str">
        <f>IF(AND(L195&lt;&gt;"",IF(ISNUMBER(U195),AND(U195&gt;=1,U195&lt;=10,U195=INT(U195)),FALSE),IF(ISNUMBER(V195),AND(V195&gt;=1,V195&lt;=10,V195=INT(V195)),FALSE),IF(ISNUMBER(W195),AND(W195&gt;=1,W195&lt;=10,W195=INT(W195)),FALSE)),U195*V195*W195,"")</f>
        <v/>
      </c>
      <c r="Y195" s="54" t="str">
        <f>IF(X195="","",IF(OR(U195&gt;=p_gmin,X195&gt;=p_ipr_crit),"Critique",IF(X195&gt;=p_ipr_act,"Élevée",IF(X195&gt;=p_ipr_watch,"Moyenne","Faible"))))</f>
        <v/>
      </c>
      <c r="Z195" s="57" t="str">
        <f>IF(X195="","",(L195-X195)/L195)</f>
        <v/>
      </c>
      <c r="AA195" s="54" t="str">
        <f>IF(AND(D195="",O195=""),"",IF(O195="",IF(N195="Oui","Action à définir",IF(N195="Non","Sans action","")),IF(R195="Annulée","Annulée",IF(R195="Réalisée",IF(X195="","À réévaluer","Réalisée"),IF(N(Q195)=0,"Échéance manquante",IF(Q195&lt;p_today,"En retard",IF(Q195-p_today&lt;=p_alert,"Échéance proche","Dans les délais")))))))</f>
        <v/>
      </c>
      <c r="AB195" s="58" t="str">
        <f>IF(AND(A195="",B195="",D195="",F195="",H195="",K195="",O195=""),"",IF(D195="","Mode de défaillance manquant",IF(AND(A195&lt;&gt;"",COUNTIF(am_num,A195)&gt;1),"N° en double",IF(F195="","Gravité G manquante",IF(NOT(IF(ISNUMBER(F195),AND(F195&gt;=1,F195&lt;=10,F195=INT(F195)),FALSE)),"G : entier de 1 à 10",IF(H195="","Occurrence O manquante",IF(NOT(IF(ISNUMBER(H195),AND(H195&gt;=1,H195&lt;=10,H195=INT(H195)),FALSE)),"O : entier de 1 à 10",IF(K195="","Détection D manquante",IF(NOT(IF(ISNUMBER(K195),AND(K195&gt;=1,K195&lt;=10,K195=INT(K195)),FALSE)),"D : entier de 1 à 10",IF(G195="","Cause manquante",IF(AND(O195&lt;&gt;"",P195=""),"Responsable manquant",IF(AND(R195&lt;&gt;"",O195=""),"Statut sans action",IF(AND(R195="Réalisée",N(S195)=0),"Date de réalisation manquante",IF(AND(T195&lt;&gt;"",IF(ISNUMBER(T195),T195&lt;0,TRUE)),"Coût invalide",IF(AND(COUNTBLANK(U195:W195)&gt;0,COUNTBLANK(U195:W195)&lt;3),"Cotation après action incomplète",IF(AND(COUNTBLANK(U195:W195)=0,X195=""),"G', O', D' : entiers de 1 à 10",IF(AND(X195&lt;&gt;"",X195&gt;L195),"IPR après action plus élevé","OK")))))))))))))))))</f>
        <v/>
      </c>
      <c r="AC195" s="59" t="str">
        <f>IF(OR(AA195="En retard",AA195="Échéance proche",AA195="Dans les délais",AA195="Échéance manquante",AA195="Action à définir",AA195="À réévaluer"),IF(OR(plan_who="",P195=plan_who),IF(N(Q195)&gt;0,Q195,99999)*1000+ROW(),""),"")</f>
        <v/>
      </c>
      <c r="AD195" s="59" t="str">
        <f>IF(L195="","",L195*1000+1000-ROW())</f>
        <v/>
      </c>
      <c r="AE195" s="59" t="str">
        <f>IF(IF(AA195="En retard",1,IF(AA195="Action à définir",2,IF(AA195="Échéance manquante",3,IF(AA195="Échéance proche",4,IF(AA195="À réévaluer",5,0)))))=0,"",IF(AA195="En retard",1,IF(AA195="Action à définir",2,IF(AA195="Échéance manquante",3,IF(AA195="Échéance proche",4,IF(AA195="À réévaluer",5,0)))))*100000000+IF(N(Q195)&gt;0,Q195,99999)*1000+ROW())</f>
        <v/>
      </c>
      <c r="AF195" s="59" t="str">
        <f>IF(X195&lt;&gt;"",X195,L195)</f>
        <v/>
      </c>
      <c r="AG195" s="59" t="str">
        <f>IF(X195&lt;&gt;"",Y195,IF(L195&lt;&gt;"",M195,""))</f>
        <v/>
      </c>
      <c r="AH195" s="59" t="str">
        <f>IF(L195="","",IF(X195&lt;&gt;"",U195,F195))</f>
        <v/>
      </c>
      <c r="AI195" s="59" t="str">
        <f>IF(L195="","",IF(X195&lt;&gt;"",V195,H195))</f>
        <v/>
      </c>
    </row>
    <row r="196" ht="30" customHeight="1">
      <c r="A196" s="50" t="n"/>
      <c r="B196" s="51" t="n"/>
      <c r="C196" s="51" t="n"/>
      <c r="D196" s="51" t="n"/>
      <c r="E196" s="51" t="n"/>
      <c r="F196" s="52" t="n"/>
      <c r="G196" s="51" t="n"/>
      <c r="H196" s="52" t="n"/>
      <c r="I196" s="51" t="n"/>
      <c r="J196" s="51" t="n"/>
      <c r="K196" s="52" t="n"/>
      <c r="L196" s="53" t="str">
        <f>IF(AND(IF(ISNUMBER(F196),AND(F196&gt;=1,F196&lt;=10,F196=INT(F196)),FALSE),IF(ISNUMBER(H196),AND(H196&gt;=1,H196&lt;=10,H196=INT(H196)),FALSE),IF(ISNUMBER(K196),AND(K196&gt;=1,K196&lt;=10,K196=INT(K196)),FALSE)),F196*H196*K196,"")</f>
        <v/>
      </c>
      <c r="M196" s="54" t="str">
        <f>IF(L196="",IF(D196="","","À coter"),IF(OR(F196&gt;=p_gmin,L196&gt;=p_ipr_crit),"Critique",IF(L196&gt;=p_ipr_act,"Élevée",IF(L196&gt;=p_ipr_watch,"Moyenne","Faible"))))</f>
        <v/>
      </c>
      <c r="N196" s="54" t="str">
        <f>IF(OR(M196="",M196="À coter"),"",IF(OR(M196="Critique",M196="Élevée"),"Oui","Non"))</f>
        <v/>
      </c>
      <c r="O196" s="51" t="n"/>
      <c r="P196" s="51" t="n"/>
      <c r="Q196" s="55" t="n"/>
      <c r="R196" s="50" t="n"/>
      <c r="S196" s="55" t="n"/>
      <c r="T196" s="56" t="n"/>
      <c r="U196" s="52" t="n"/>
      <c r="V196" s="52" t="n"/>
      <c r="W196" s="52" t="n"/>
      <c r="X196" s="53" t="str">
        <f>IF(AND(L196&lt;&gt;"",IF(ISNUMBER(U196),AND(U196&gt;=1,U196&lt;=10,U196=INT(U196)),FALSE),IF(ISNUMBER(V196),AND(V196&gt;=1,V196&lt;=10,V196=INT(V196)),FALSE),IF(ISNUMBER(W196),AND(W196&gt;=1,W196&lt;=10,W196=INT(W196)),FALSE)),U196*V196*W196,"")</f>
        <v/>
      </c>
      <c r="Y196" s="54" t="str">
        <f>IF(X196="","",IF(OR(U196&gt;=p_gmin,X196&gt;=p_ipr_crit),"Critique",IF(X196&gt;=p_ipr_act,"Élevée",IF(X196&gt;=p_ipr_watch,"Moyenne","Faible"))))</f>
        <v/>
      </c>
      <c r="Z196" s="57" t="str">
        <f>IF(X196="","",(L196-X196)/L196)</f>
        <v/>
      </c>
      <c r="AA196" s="54" t="str">
        <f>IF(AND(D196="",O196=""),"",IF(O196="",IF(N196="Oui","Action à définir",IF(N196="Non","Sans action","")),IF(R196="Annulée","Annulée",IF(R196="Réalisée",IF(X196="","À réévaluer","Réalisée"),IF(N(Q196)=0,"Échéance manquante",IF(Q196&lt;p_today,"En retard",IF(Q196-p_today&lt;=p_alert,"Échéance proche","Dans les délais")))))))</f>
        <v/>
      </c>
      <c r="AB196" s="58" t="str">
        <f>IF(AND(A196="",B196="",D196="",F196="",H196="",K196="",O196=""),"",IF(D196="","Mode de défaillance manquant",IF(AND(A196&lt;&gt;"",COUNTIF(am_num,A196)&gt;1),"N° en double",IF(F196="","Gravité G manquante",IF(NOT(IF(ISNUMBER(F196),AND(F196&gt;=1,F196&lt;=10,F196=INT(F196)),FALSE)),"G : entier de 1 à 10",IF(H196="","Occurrence O manquante",IF(NOT(IF(ISNUMBER(H196),AND(H196&gt;=1,H196&lt;=10,H196=INT(H196)),FALSE)),"O : entier de 1 à 10",IF(K196="","Détection D manquante",IF(NOT(IF(ISNUMBER(K196),AND(K196&gt;=1,K196&lt;=10,K196=INT(K196)),FALSE)),"D : entier de 1 à 10",IF(G196="","Cause manquante",IF(AND(O196&lt;&gt;"",P196=""),"Responsable manquant",IF(AND(R196&lt;&gt;"",O196=""),"Statut sans action",IF(AND(R196="Réalisée",N(S196)=0),"Date de réalisation manquante",IF(AND(T196&lt;&gt;"",IF(ISNUMBER(T196),T196&lt;0,TRUE)),"Coût invalide",IF(AND(COUNTBLANK(U196:W196)&gt;0,COUNTBLANK(U196:W196)&lt;3),"Cotation après action incomplète",IF(AND(COUNTBLANK(U196:W196)=0,X196=""),"G', O', D' : entiers de 1 à 10",IF(AND(X196&lt;&gt;"",X196&gt;L196),"IPR après action plus élevé","OK")))))))))))))))))</f>
        <v/>
      </c>
      <c r="AC196" s="59" t="str">
        <f>IF(OR(AA196="En retard",AA196="Échéance proche",AA196="Dans les délais",AA196="Échéance manquante",AA196="Action à définir",AA196="À réévaluer"),IF(OR(plan_who="",P196=plan_who),IF(N(Q196)&gt;0,Q196,99999)*1000+ROW(),""),"")</f>
        <v/>
      </c>
      <c r="AD196" s="59" t="str">
        <f>IF(L196="","",L196*1000+1000-ROW())</f>
        <v/>
      </c>
      <c r="AE196" s="59" t="str">
        <f>IF(IF(AA196="En retard",1,IF(AA196="Action à définir",2,IF(AA196="Échéance manquante",3,IF(AA196="Échéance proche",4,IF(AA196="À réévaluer",5,0)))))=0,"",IF(AA196="En retard",1,IF(AA196="Action à définir",2,IF(AA196="Échéance manquante",3,IF(AA196="Échéance proche",4,IF(AA196="À réévaluer",5,0)))))*100000000+IF(N(Q196)&gt;0,Q196,99999)*1000+ROW())</f>
        <v/>
      </c>
      <c r="AF196" s="59" t="str">
        <f>IF(X196&lt;&gt;"",X196,L196)</f>
        <v/>
      </c>
      <c r="AG196" s="59" t="str">
        <f>IF(X196&lt;&gt;"",Y196,IF(L196&lt;&gt;"",M196,""))</f>
        <v/>
      </c>
      <c r="AH196" s="59" t="str">
        <f>IF(L196="","",IF(X196&lt;&gt;"",U196,F196))</f>
        <v/>
      </c>
      <c r="AI196" s="59" t="str">
        <f>IF(L196="","",IF(X196&lt;&gt;"",V196,H196))</f>
        <v/>
      </c>
    </row>
    <row r="197" ht="30" customHeight="1">
      <c r="A197" s="50" t="n"/>
      <c r="B197" s="51" t="n"/>
      <c r="C197" s="51" t="n"/>
      <c r="D197" s="51" t="n"/>
      <c r="E197" s="51" t="n"/>
      <c r="F197" s="52" t="n"/>
      <c r="G197" s="51" t="n"/>
      <c r="H197" s="52" t="n"/>
      <c r="I197" s="51" t="n"/>
      <c r="J197" s="51" t="n"/>
      <c r="K197" s="52" t="n"/>
      <c r="L197" s="53" t="str">
        <f>IF(AND(IF(ISNUMBER(F197),AND(F197&gt;=1,F197&lt;=10,F197=INT(F197)),FALSE),IF(ISNUMBER(H197),AND(H197&gt;=1,H197&lt;=10,H197=INT(H197)),FALSE),IF(ISNUMBER(K197),AND(K197&gt;=1,K197&lt;=10,K197=INT(K197)),FALSE)),F197*H197*K197,"")</f>
        <v/>
      </c>
      <c r="M197" s="54" t="str">
        <f>IF(L197="",IF(D197="","","À coter"),IF(OR(F197&gt;=p_gmin,L197&gt;=p_ipr_crit),"Critique",IF(L197&gt;=p_ipr_act,"Élevée",IF(L197&gt;=p_ipr_watch,"Moyenne","Faible"))))</f>
        <v/>
      </c>
      <c r="N197" s="54" t="str">
        <f>IF(OR(M197="",M197="À coter"),"",IF(OR(M197="Critique",M197="Élevée"),"Oui","Non"))</f>
        <v/>
      </c>
      <c r="O197" s="51" t="n"/>
      <c r="P197" s="51" t="n"/>
      <c r="Q197" s="55" t="n"/>
      <c r="R197" s="50" t="n"/>
      <c r="S197" s="55" t="n"/>
      <c r="T197" s="56" t="n"/>
      <c r="U197" s="52" t="n"/>
      <c r="V197" s="52" t="n"/>
      <c r="W197" s="52" t="n"/>
      <c r="X197" s="53" t="str">
        <f>IF(AND(L197&lt;&gt;"",IF(ISNUMBER(U197),AND(U197&gt;=1,U197&lt;=10,U197=INT(U197)),FALSE),IF(ISNUMBER(V197),AND(V197&gt;=1,V197&lt;=10,V197=INT(V197)),FALSE),IF(ISNUMBER(W197),AND(W197&gt;=1,W197&lt;=10,W197=INT(W197)),FALSE)),U197*V197*W197,"")</f>
        <v/>
      </c>
      <c r="Y197" s="54" t="str">
        <f>IF(X197="","",IF(OR(U197&gt;=p_gmin,X197&gt;=p_ipr_crit),"Critique",IF(X197&gt;=p_ipr_act,"Élevée",IF(X197&gt;=p_ipr_watch,"Moyenne","Faible"))))</f>
        <v/>
      </c>
      <c r="Z197" s="57" t="str">
        <f>IF(X197="","",(L197-X197)/L197)</f>
        <v/>
      </c>
      <c r="AA197" s="54" t="str">
        <f>IF(AND(D197="",O197=""),"",IF(O197="",IF(N197="Oui","Action à définir",IF(N197="Non","Sans action","")),IF(R197="Annulée","Annulée",IF(R197="Réalisée",IF(X197="","À réévaluer","Réalisée"),IF(N(Q197)=0,"Échéance manquante",IF(Q197&lt;p_today,"En retard",IF(Q197-p_today&lt;=p_alert,"Échéance proche","Dans les délais")))))))</f>
        <v/>
      </c>
      <c r="AB197" s="58" t="str">
        <f>IF(AND(A197="",B197="",D197="",F197="",H197="",K197="",O197=""),"",IF(D197="","Mode de défaillance manquant",IF(AND(A197&lt;&gt;"",COUNTIF(am_num,A197)&gt;1),"N° en double",IF(F197="","Gravité G manquante",IF(NOT(IF(ISNUMBER(F197),AND(F197&gt;=1,F197&lt;=10,F197=INT(F197)),FALSE)),"G : entier de 1 à 10",IF(H197="","Occurrence O manquante",IF(NOT(IF(ISNUMBER(H197),AND(H197&gt;=1,H197&lt;=10,H197=INT(H197)),FALSE)),"O : entier de 1 à 10",IF(K197="","Détection D manquante",IF(NOT(IF(ISNUMBER(K197),AND(K197&gt;=1,K197&lt;=10,K197=INT(K197)),FALSE)),"D : entier de 1 à 10",IF(G197="","Cause manquante",IF(AND(O197&lt;&gt;"",P197=""),"Responsable manquant",IF(AND(R197&lt;&gt;"",O197=""),"Statut sans action",IF(AND(R197="Réalisée",N(S197)=0),"Date de réalisation manquante",IF(AND(T197&lt;&gt;"",IF(ISNUMBER(T197),T197&lt;0,TRUE)),"Coût invalide",IF(AND(COUNTBLANK(U197:W197)&gt;0,COUNTBLANK(U197:W197)&lt;3),"Cotation après action incomplète",IF(AND(COUNTBLANK(U197:W197)=0,X197=""),"G', O', D' : entiers de 1 à 10",IF(AND(X197&lt;&gt;"",X197&gt;L197),"IPR après action plus élevé","OK")))))))))))))))))</f>
        <v/>
      </c>
      <c r="AC197" s="59" t="str">
        <f>IF(OR(AA197="En retard",AA197="Échéance proche",AA197="Dans les délais",AA197="Échéance manquante",AA197="Action à définir",AA197="À réévaluer"),IF(OR(plan_who="",P197=plan_who),IF(N(Q197)&gt;0,Q197,99999)*1000+ROW(),""),"")</f>
        <v/>
      </c>
      <c r="AD197" s="59" t="str">
        <f>IF(L197="","",L197*1000+1000-ROW())</f>
        <v/>
      </c>
      <c r="AE197" s="59" t="str">
        <f>IF(IF(AA197="En retard",1,IF(AA197="Action à définir",2,IF(AA197="Échéance manquante",3,IF(AA197="Échéance proche",4,IF(AA197="À réévaluer",5,0)))))=0,"",IF(AA197="En retard",1,IF(AA197="Action à définir",2,IF(AA197="Échéance manquante",3,IF(AA197="Échéance proche",4,IF(AA197="À réévaluer",5,0)))))*100000000+IF(N(Q197)&gt;0,Q197,99999)*1000+ROW())</f>
        <v/>
      </c>
      <c r="AF197" s="59" t="str">
        <f>IF(X197&lt;&gt;"",X197,L197)</f>
        <v/>
      </c>
      <c r="AG197" s="59" t="str">
        <f>IF(X197&lt;&gt;"",Y197,IF(L197&lt;&gt;"",M197,""))</f>
        <v/>
      </c>
      <c r="AH197" s="59" t="str">
        <f>IF(L197="","",IF(X197&lt;&gt;"",U197,F197))</f>
        <v/>
      </c>
      <c r="AI197" s="59" t="str">
        <f>IF(L197="","",IF(X197&lt;&gt;"",V197,H197))</f>
        <v/>
      </c>
    </row>
    <row r="198" ht="30" customHeight="1">
      <c r="A198" s="50" t="n"/>
      <c r="B198" s="51" t="n"/>
      <c r="C198" s="51" t="n"/>
      <c r="D198" s="51" t="n"/>
      <c r="E198" s="51" t="n"/>
      <c r="F198" s="52" t="n"/>
      <c r="G198" s="51" t="n"/>
      <c r="H198" s="52" t="n"/>
      <c r="I198" s="51" t="n"/>
      <c r="J198" s="51" t="n"/>
      <c r="K198" s="52" t="n"/>
      <c r="L198" s="53" t="str">
        <f>IF(AND(IF(ISNUMBER(F198),AND(F198&gt;=1,F198&lt;=10,F198=INT(F198)),FALSE),IF(ISNUMBER(H198),AND(H198&gt;=1,H198&lt;=10,H198=INT(H198)),FALSE),IF(ISNUMBER(K198),AND(K198&gt;=1,K198&lt;=10,K198=INT(K198)),FALSE)),F198*H198*K198,"")</f>
        <v/>
      </c>
      <c r="M198" s="54" t="str">
        <f>IF(L198="",IF(D198="","","À coter"),IF(OR(F198&gt;=p_gmin,L198&gt;=p_ipr_crit),"Critique",IF(L198&gt;=p_ipr_act,"Élevée",IF(L198&gt;=p_ipr_watch,"Moyenne","Faible"))))</f>
        <v/>
      </c>
      <c r="N198" s="54" t="str">
        <f>IF(OR(M198="",M198="À coter"),"",IF(OR(M198="Critique",M198="Élevée"),"Oui","Non"))</f>
        <v/>
      </c>
      <c r="O198" s="51" t="n"/>
      <c r="P198" s="51" t="n"/>
      <c r="Q198" s="55" t="n"/>
      <c r="R198" s="50" t="n"/>
      <c r="S198" s="55" t="n"/>
      <c r="T198" s="56" t="n"/>
      <c r="U198" s="52" t="n"/>
      <c r="V198" s="52" t="n"/>
      <c r="W198" s="52" t="n"/>
      <c r="X198" s="53" t="str">
        <f>IF(AND(L198&lt;&gt;"",IF(ISNUMBER(U198),AND(U198&gt;=1,U198&lt;=10,U198=INT(U198)),FALSE),IF(ISNUMBER(V198),AND(V198&gt;=1,V198&lt;=10,V198=INT(V198)),FALSE),IF(ISNUMBER(W198),AND(W198&gt;=1,W198&lt;=10,W198=INT(W198)),FALSE)),U198*V198*W198,"")</f>
        <v/>
      </c>
      <c r="Y198" s="54" t="str">
        <f>IF(X198="","",IF(OR(U198&gt;=p_gmin,X198&gt;=p_ipr_crit),"Critique",IF(X198&gt;=p_ipr_act,"Élevée",IF(X198&gt;=p_ipr_watch,"Moyenne","Faible"))))</f>
        <v/>
      </c>
      <c r="Z198" s="57" t="str">
        <f>IF(X198="","",(L198-X198)/L198)</f>
        <v/>
      </c>
      <c r="AA198" s="54" t="str">
        <f>IF(AND(D198="",O198=""),"",IF(O198="",IF(N198="Oui","Action à définir",IF(N198="Non","Sans action","")),IF(R198="Annulée","Annulée",IF(R198="Réalisée",IF(X198="","À réévaluer","Réalisée"),IF(N(Q198)=0,"Échéance manquante",IF(Q198&lt;p_today,"En retard",IF(Q198-p_today&lt;=p_alert,"Échéance proche","Dans les délais")))))))</f>
        <v/>
      </c>
      <c r="AB198" s="58" t="str">
        <f>IF(AND(A198="",B198="",D198="",F198="",H198="",K198="",O198=""),"",IF(D198="","Mode de défaillance manquant",IF(AND(A198&lt;&gt;"",COUNTIF(am_num,A198)&gt;1),"N° en double",IF(F198="","Gravité G manquante",IF(NOT(IF(ISNUMBER(F198),AND(F198&gt;=1,F198&lt;=10,F198=INT(F198)),FALSE)),"G : entier de 1 à 10",IF(H198="","Occurrence O manquante",IF(NOT(IF(ISNUMBER(H198),AND(H198&gt;=1,H198&lt;=10,H198=INT(H198)),FALSE)),"O : entier de 1 à 10",IF(K198="","Détection D manquante",IF(NOT(IF(ISNUMBER(K198),AND(K198&gt;=1,K198&lt;=10,K198=INT(K198)),FALSE)),"D : entier de 1 à 10",IF(G198="","Cause manquante",IF(AND(O198&lt;&gt;"",P198=""),"Responsable manquant",IF(AND(R198&lt;&gt;"",O198=""),"Statut sans action",IF(AND(R198="Réalisée",N(S198)=0),"Date de réalisation manquante",IF(AND(T198&lt;&gt;"",IF(ISNUMBER(T198),T198&lt;0,TRUE)),"Coût invalide",IF(AND(COUNTBLANK(U198:W198)&gt;0,COUNTBLANK(U198:W198)&lt;3),"Cotation après action incomplète",IF(AND(COUNTBLANK(U198:W198)=0,X198=""),"G', O', D' : entiers de 1 à 10",IF(AND(X198&lt;&gt;"",X198&gt;L198),"IPR après action plus élevé","OK")))))))))))))))))</f>
        <v/>
      </c>
      <c r="AC198" s="59" t="str">
        <f>IF(OR(AA198="En retard",AA198="Échéance proche",AA198="Dans les délais",AA198="Échéance manquante",AA198="Action à définir",AA198="À réévaluer"),IF(OR(plan_who="",P198=plan_who),IF(N(Q198)&gt;0,Q198,99999)*1000+ROW(),""),"")</f>
        <v/>
      </c>
      <c r="AD198" s="59" t="str">
        <f>IF(L198="","",L198*1000+1000-ROW())</f>
        <v/>
      </c>
      <c r="AE198" s="59" t="str">
        <f>IF(IF(AA198="En retard",1,IF(AA198="Action à définir",2,IF(AA198="Échéance manquante",3,IF(AA198="Échéance proche",4,IF(AA198="À réévaluer",5,0)))))=0,"",IF(AA198="En retard",1,IF(AA198="Action à définir",2,IF(AA198="Échéance manquante",3,IF(AA198="Échéance proche",4,IF(AA198="À réévaluer",5,0)))))*100000000+IF(N(Q198)&gt;0,Q198,99999)*1000+ROW())</f>
        <v/>
      </c>
      <c r="AF198" s="59" t="str">
        <f>IF(X198&lt;&gt;"",X198,L198)</f>
        <v/>
      </c>
      <c r="AG198" s="59" t="str">
        <f>IF(X198&lt;&gt;"",Y198,IF(L198&lt;&gt;"",M198,""))</f>
        <v/>
      </c>
      <c r="AH198" s="59" t="str">
        <f>IF(L198="","",IF(X198&lt;&gt;"",U198,F198))</f>
        <v/>
      </c>
      <c r="AI198" s="59" t="str">
        <f>IF(L198="","",IF(X198&lt;&gt;"",V198,H198))</f>
        <v/>
      </c>
    </row>
    <row r="199" ht="30" customHeight="1">
      <c r="A199" s="50" t="n"/>
      <c r="B199" s="51" t="n"/>
      <c r="C199" s="51" t="n"/>
      <c r="D199" s="51" t="n"/>
      <c r="E199" s="51" t="n"/>
      <c r="F199" s="52" t="n"/>
      <c r="G199" s="51" t="n"/>
      <c r="H199" s="52" t="n"/>
      <c r="I199" s="51" t="n"/>
      <c r="J199" s="51" t="n"/>
      <c r="K199" s="52" t="n"/>
      <c r="L199" s="53" t="str">
        <f>IF(AND(IF(ISNUMBER(F199),AND(F199&gt;=1,F199&lt;=10,F199=INT(F199)),FALSE),IF(ISNUMBER(H199),AND(H199&gt;=1,H199&lt;=10,H199=INT(H199)),FALSE),IF(ISNUMBER(K199),AND(K199&gt;=1,K199&lt;=10,K199=INT(K199)),FALSE)),F199*H199*K199,"")</f>
        <v/>
      </c>
      <c r="M199" s="54" t="str">
        <f>IF(L199="",IF(D199="","","À coter"),IF(OR(F199&gt;=p_gmin,L199&gt;=p_ipr_crit),"Critique",IF(L199&gt;=p_ipr_act,"Élevée",IF(L199&gt;=p_ipr_watch,"Moyenne","Faible"))))</f>
        <v/>
      </c>
      <c r="N199" s="54" t="str">
        <f>IF(OR(M199="",M199="À coter"),"",IF(OR(M199="Critique",M199="Élevée"),"Oui","Non"))</f>
        <v/>
      </c>
      <c r="O199" s="51" t="n"/>
      <c r="P199" s="51" t="n"/>
      <c r="Q199" s="55" t="n"/>
      <c r="R199" s="50" t="n"/>
      <c r="S199" s="55" t="n"/>
      <c r="T199" s="56" t="n"/>
      <c r="U199" s="52" t="n"/>
      <c r="V199" s="52" t="n"/>
      <c r="W199" s="52" t="n"/>
      <c r="X199" s="53" t="str">
        <f>IF(AND(L199&lt;&gt;"",IF(ISNUMBER(U199),AND(U199&gt;=1,U199&lt;=10,U199=INT(U199)),FALSE),IF(ISNUMBER(V199),AND(V199&gt;=1,V199&lt;=10,V199=INT(V199)),FALSE),IF(ISNUMBER(W199),AND(W199&gt;=1,W199&lt;=10,W199=INT(W199)),FALSE)),U199*V199*W199,"")</f>
        <v/>
      </c>
      <c r="Y199" s="54" t="str">
        <f>IF(X199="","",IF(OR(U199&gt;=p_gmin,X199&gt;=p_ipr_crit),"Critique",IF(X199&gt;=p_ipr_act,"Élevée",IF(X199&gt;=p_ipr_watch,"Moyenne","Faible"))))</f>
        <v/>
      </c>
      <c r="Z199" s="57" t="str">
        <f>IF(X199="","",(L199-X199)/L199)</f>
        <v/>
      </c>
      <c r="AA199" s="54" t="str">
        <f>IF(AND(D199="",O199=""),"",IF(O199="",IF(N199="Oui","Action à définir",IF(N199="Non","Sans action","")),IF(R199="Annulée","Annulée",IF(R199="Réalisée",IF(X199="","À réévaluer","Réalisée"),IF(N(Q199)=0,"Échéance manquante",IF(Q199&lt;p_today,"En retard",IF(Q199-p_today&lt;=p_alert,"Échéance proche","Dans les délais")))))))</f>
        <v/>
      </c>
      <c r="AB199" s="58" t="str">
        <f>IF(AND(A199="",B199="",D199="",F199="",H199="",K199="",O199=""),"",IF(D199="","Mode de défaillance manquant",IF(AND(A199&lt;&gt;"",COUNTIF(am_num,A199)&gt;1),"N° en double",IF(F199="","Gravité G manquante",IF(NOT(IF(ISNUMBER(F199),AND(F199&gt;=1,F199&lt;=10,F199=INT(F199)),FALSE)),"G : entier de 1 à 10",IF(H199="","Occurrence O manquante",IF(NOT(IF(ISNUMBER(H199),AND(H199&gt;=1,H199&lt;=10,H199=INT(H199)),FALSE)),"O : entier de 1 à 10",IF(K199="","Détection D manquante",IF(NOT(IF(ISNUMBER(K199),AND(K199&gt;=1,K199&lt;=10,K199=INT(K199)),FALSE)),"D : entier de 1 à 10",IF(G199="","Cause manquante",IF(AND(O199&lt;&gt;"",P199=""),"Responsable manquant",IF(AND(R199&lt;&gt;"",O199=""),"Statut sans action",IF(AND(R199="Réalisée",N(S199)=0),"Date de réalisation manquante",IF(AND(T199&lt;&gt;"",IF(ISNUMBER(T199),T199&lt;0,TRUE)),"Coût invalide",IF(AND(COUNTBLANK(U199:W199)&gt;0,COUNTBLANK(U199:W199)&lt;3),"Cotation après action incomplète",IF(AND(COUNTBLANK(U199:W199)=0,X199=""),"G', O', D' : entiers de 1 à 10",IF(AND(X199&lt;&gt;"",X199&gt;L199),"IPR après action plus élevé","OK")))))))))))))))))</f>
        <v/>
      </c>
      <c r="AC199" s="59" t="str">
        <f>IF(OR(AA199="En retard",AA199="Échéance proche",AA199="Dans les délais",AA199="Échéance manquante",AA199="Action à définir",AA199="À réévaluer"),IF(OR(plan_who="",P199=plan_who),IF(N(Q199)&gt;0,Q199,99999)*1000+ROW(),""),"")</f>
        <v/>
      </c>
      <c r="AD199" s="59" t="str">
        <f>IF(L199="","",L199*1000+1000-ROW())</f>
        <v/>
      </c>
      <c r="AE199" s="59" t="str">
        <f>IF(IF(AA199="En retard",1,IF(AA199="Action à définir",2,IF(AA199="Échéance manquante",3,IF(AA199="Échéance proche",4,IF(AA199="À réévaluer",5,0)))))=0,"",IF(AA199="En retard",1,IF(AA199="Action à définir",2,IF(AA199="Échéance manquante",3,IF(AA199="Échéance proche",4,IF(AA199="À réévaluer",5,0)))))*100000000+IF(N(Q199)&gt;0,Q199,99999)*1000+ROW())</f>
        <v/>
      </c>
      <c r="AF199" s="59" t="str">
        <f>IF(X199&lt;&gt;"",X199,L199)</f>
        <v/>
      </c>
      <c r="AG199" s="59" t="str">
        <f>IF(X199&lt;&gt;"",Y199,IF(L199&lt;&gt;"",M199,""))</f>
        <v/>
      </c>
      <c r="AH199" s="59" t="str">
        <f>IF(L199="","",IF(X199&lt;&gt;"",U199,F199))</f>
        <v/>
      </c>
      <c r="AI199" s="59" t="str">
        <f>IF(L199="","",IF(X199&lt;&gt;"",V199,H199))</f>
        <v/>
      </c>
    </row>
    <row r="200" ht="30" customHeight="1">
      <c r="A200" s="50" t="n"/>
      <c r="B200" s="51" t="n"/>
      <c r="C200" s="51" t="n"/>
      <c r="D200" s="51" t="n"/>
      <c r="E200" s="51" t="n"/>
      <c r="F200" s="52" t="n"/>
      <c r="G200" s="51" t="n"/>
      <c r="H200" s="52" t="n"/>
      <c r="I200" s="51" t="n"/>
      <c r="J200" s="51" t="n"/>
      <c r="K200" s="52" t="n"/>
      <c r="L200" s="53" t="str">
        <f>IF(AND(IF(ISNUMBER(F200),AND(F200&gt;=1,F200&lt;=10,F200=INT(F200)),FALSE),IF(ISNUMBER(H200),AND(H200&gt;=1,H200&lt;=10,H200=INT(H200)),FALSE),IF(ISNUMBER(K200),AND(K200&gt;=1,K200&lt;=10,K200=INT(K200)),FALSE)),F200*H200*K200,"")</f>
        <v/>
      </c>
      <c r="M200" s="54" t="str">
        <f>IF(L200="",IF(D200="","","À coter"),IF(OR(F200&gt;=p_gmin,L200&gt;=p_ipr_crit),"Critique",IF(L200&gt;=p_ipr_act,"Élevée",IF(L200&gt;=p_ipr_watch,"Moyenne","Faible"))))</f>
        <v/>
      </c>
      <c r="N200" s="54" t="str">
        <f>IF(OR(M200="",M200="À coter"),"",IF(OR(M200="Critique",M200="Élevée"),"Oui","Non"))</f>
        <v/>
      </c>
      <c r="O200" s="51" t="n"/>
      <c r="P200" s="51" t="n"/>
      <c r="Q200" s="55" t="n"/>
      <c r="R200" s="50" t="n"/>
      <c r="S200" s="55" t="n"/>
      <c r="T200" s="56" t="n"/>
      <c r="U200" s="52" t="n"/>
      <c r="V200" s="52" t="n"/>
      <c r="W200" s="52" t="n"/>
      <c r="X200" s="53" t="str">
        <f>IF(AND(L200&lt;&gt;"",IF(ISNUMBER(U200),AND(U200&gt;=1,U200&lt;=10,U200=INT(U200)),FALSE),IF(ISNUMBER(V200),AND(V200&gt;=1,V200&lt;=10,V200=INT(V200)),FALSE),IF(ISNUMBER(W200),AND(W200&gt;=1,W200&lt;=10,W200=INT(W200)),FALSE)),U200*V200*W200,"")</f>
        <v/>
      </c>
      <c r="Y200" s="54" t="str">
        <f>IF(X200="","",IF(OR(U200&gt;=p_gmin,X200&gt;=p_ipr_crit),"Critique",IF(X200&gt;=p_ipr_act,"Élevée",IF(X200&gt;=p_ipr_watch,"Moyenne","Faible"))))</f>
        <v/>
      </c>
      <c r="Z200" s="57" t="str">
        <f>IF(X200="","",(L200-X200)/L200)</f>
        <v/>
      </c>
      <c r="AA200" s="54" t="str">
        <f>IF(AND(D200="",O200=""),"",IF(O200="",IF(N200="Oui","Action à définir",IF(N200="Non","Sans action","")),IF(R200="Annulée","Annulée",IF(R200="Réalisée",IF(X200="","À réévaluer","Réalisée"),IF(N(Q200)=0,"Échéance manquante",IF(Q200&lt;p_today,"En retard",IF(Q200-p_today&lt;=p_alert,"Échéance proche","Dans les délais")))))))</f>
        <v/>
      </c>
      <c r="AB200" s="58" t="str">
        <f>IF(AND(A200="",B200="",D200="",F200="",H200="",K200="",O200=""),"",IF(D200="","Mode de défaillance manquant",IF(AND(A200&lt;&gt;"",COUNTIF(am_num,A200)&gt;1),"N° en double",IF(F200="","Gravité G manquante",IF(NOT(IF(ISNUMBER(F200),AND(F200&gt;=1,F200&lt;=10,F200=INT(F200)),FALSE)),"G : entier de 1 à 10",IF(H200="","Occurrence O manquante",IF(NOT(IF(ISNUMBER(H200),AND(H200&gt;=1,H200&lt;=10,H200=INT(H200)),FALSE)),"O : entier de 1 à 10",IF(K200="","Détection D manquante",IF(NOT(IF(ISNUMBER(K200),AND(K200&gt;=1,K200&lt;=10,K200=INT(K200)),FALSE)),"D : entier de 1 à 10",IF(G200="","Cause manquante",IF(AND(O200&lt;&gt;"",P200=""),"Responsable manquant",IF(AND(R200&lt;&gt;"",O200=""),"Statut sans action",IF(AND(R200="Réalisée",N(S200)=0),"Date de réalisation manquante",IF(AND(T200&lt;&gt;"",IF(ISNUMBER(T200),T200&lt;0,TRUE)),"Coût invalide",IF(AND(COUNTBLANK(U200:W200)&gt;0,COUNTBLANK(U200:W200)&lt;3),"Cotation après action incomplète",IF(AND(COUNTBLANK(U200:W200)=0,X200=""),"G', O', D' : entiers de 1 à 10",IF(AND(X200&lt;&gt;"",X200&gt;L200),"IPR après action plus élevé","OK")))))))))))))))))</f>
        <v/>
      </c>
      <c r="AC200" s="59" t="str">
        <f>IF(OR(AA200="En retard",AA200="Échéance proche",AA200="Dans les délais",AA200="Échéance manquante",AA200="Action à définir",AA200="À réévaluer"),IF(OR(plan_who="",P200=plan_who),IF(N(Q200)&gt;0,Q200,99999)*1000+ROW(),""),"")</f>
        <v/>
      </c>
      <c r="AD200" s="59" t="str">
        <f>IF(L200="","",L200*1000+1000-ROW())</f>
        <v/>
      </c>
      <c r="AE200" s="59" t="str">
        <f>IF(IF(AA200="En retard",1,IF(AA200="Action à définir",2,IF(AA200="Échéance manquante",3,IF(AA200="Échéance proche",4,IF(AA200="À réévaluer",5,0)))))=0,"",IF(AA200="En retard",1,IF(AA200="Action à définir",2,IF(AA200="Échéance manquante",3,IF(AA200="Échéance proche",4,IF(AA200="À réévaluer",5,0)))))*100000000+IF(N(Q200)&gt;0,Q200,99999)*1000+ROW())</f>
        <v/>
      </c>
      <c r="AF200" s="59" t="str">
        <f>IF(X200&lt;&gt;"",X200,L200)</f>
        <v/>
      </c>
      <c r="AG200" s="59" t="str">
        <f>IF(X200&lt;&gt;"",Y200,IF(L200&lt;&gt;"",M200,""))</f>
        <v/>
      </c>
      <c r="AH200" s="59" t="str">
        <f>IF(L200="","",IF(X200&lt;&gt;"",U200,F200))</f>
        <v/>
      </c>
      <c r="AI200" s="59" t="str">
        <f>IF(L200="","",IF(X200&lt;&gt;"",V200,H200))</f>
        <v/>
      </c>
    </row>
    <row r="201" ht="30" customHeight="1">
      <c r="A201" s="50" t="n"/>
      <c r="B201" s="51" t="n"/>
      <c r="C201" s="51" t="n"/>
      <c r="D201" s="51" t="n"/>
      <c r="E201" s="51" t="n"/>
      <c r="F201" s="52" t="n"/>
      <c r="G201" s="51" t="n"/>
      <c r="H201" s="52" t="n"/>
      <c r="I201" s="51" t="n"/>
      <c r="J201" s="51" t="n"/>
      <c r="K201" s="52" t="n"/>
      <c r="L201" s="53" t="str">
        <f>IF(AND(IF(ISNUMBER(F201),AND(F201&gt;=1,F201&lt;=10,F201=INT(F201)),FALSE),IF(ISNUMBER(H201),AND(H201&gt;=1,H201&lt;=10,H201=INT(H201)),FALSE),IF(ISNUMBER(K201),AND(K201&gt;=1,K201&lt;=10,K201=INT(K201)),FALSE)),F201*H201*K201,"")</f>
        <v/>
      </c>
      <c r="M201" s="54" t="str">
        <f>IF(L201="",IF(D201="","","À coter"),IF(OR(F201&gt;=p_gmin,L201&gt;=p_ipr_crit),"Critique",IF(L201&gt;=p_ipr_act,"Élevée",IF(L201&gt;=p_ipr_watch,"Moyenne","Faible"))))</f>
        <v/>
      </c>
      <c r="N201" s="54" t="str">
        <f>IF(OR(M201="",M201="À coter"),"",IF(OR(M201="Critique",M201="Élevée"),"Oui","Non"))</f>
        <v/>
      </c>
      <c r="O201" s="51" t="n"/>
      <c r="P201" s="51" t="n"/>
      <c r="Q201" s="55" t="n"/>
      <c r="R201" s="50" t="n"/>
      <c r="S201" s="55" t="n"/>
      <c r="T201" s="56" t="n"/>
      <c r="U201" s="52" t="n"/>
      <c r="V201" s="52" t="n"/>
      <c r="W201" s="52" t="n"/>
      <c r="X201" s="53" t="str">
        <f>IF(AND(L201&lt;&gt;"",IF(ISNUMBER(U201),AND(U201&gt;=1,U201&lt;=10,U201=INT(U201)),FALSE),IF(ISNUMBER(V201),AND(V201&gt;=1,V201&lt;=10,V201=INT(V201)),FALSE),IF(ISNUMBER(W201),AND(W201&gt;=1,W201&lt;=10,W201=INT(W201)),FALSE)),U201*V201*W201,"")</f>
        <v/>
      </c>
      <c r="Y201" s="54" t="str">
        <f>IF(X201="","",IF(OR(U201&gt;=p_gmin,X201&gt;=p_ipr_crit),"Critique",IF(X201&gt;=p_ipr_act,"Élevée",IF(X201&gt;=p_ipr_watch,"Moyenne","Faible"))))</f>
        <v/>
      </c>
      <c r="Z201" s="57" t="str">
        <f>IF(X201="","",(L201-X201)/L201)</f>
        <v/>
      </c>
      <c r="AA201" s="54" t="str">
        <f>IF(AND(D201="",O201=""),"",IF(O201="",IF(N201="Oui","Action à définir",IF(N201="Non","Sans action","")),IF(R201="Annulée","Annulée",IF(R201="Réalisée",IF(X201="","À réévaluer","Réalisée"),IF(N(Q201)=0,"Échéance manquante",IF(Q201&lt;p_today,"En retard",IF(Q201-p_today&lt;=p_alert,"Échéance proche","Dans les délais")))))))</f>
        <v/>
      </c>
      <c r="AB201" s="58" t="str">
        <f>IF(AND(A201="",B201="",D201="",F201="",H201="",K201="",O201=""),"",IF(D201="","Mode de défaillance manquant",IF(AND(A201&lt;&gt;"",COUNTIF(am_num,A201)&gt;1),"N° en double",IF(F201="","Gravité G manquante",IF(NOT(IF(ISNUMBER(F201),AND(F201&gt;=1,F201&lt;=10,F201=INT(F201)),FALSE)),"G : entier de 1 à 10",IF(H201="","Occurrence O manquante",IF(NOT(IF(ISNUMBER(H201),AND(H201&gt;=1,H201&lt;=10,H201=INT(H201)),FALSE)),"O : entier de 1 à 10",IF(K201="","Détection D manquante",IF(NOT(IF(ISNUMBER(K201),AND(K201&gt;=1,K201&lt;=10,K201=INT(K201)),FALSE)),"D : entier de 1 à 10",IF(G201="","Cause manquante",IF(AND(O201&lt;&gt;"",P201=""),"Responsable manquant",IF(AND(R201&lt;&gt;"",O201=""),"Statut sans action",IF(AND(R201="Réalisée",N(S201)=0),"Date de réalisation manquante",IF(AND(T201&lt;&gt;"",IF(ISNUMBER(T201),T201&lt;0,TRUE)),"Coût invalide",IF(AND(COUNTBLANK(U201:W201)&gt;0,COUNTBLANK(U201:W201)&lt;3),"Cotation après action incomplète",IF(AND(COUNTBLANK(U201:W201)=0,X201=""),"G', O', D' : entiers de 1 à 10",IF(AND(X201&lt;&gt;"",X201&gt;L201),"IPR après action plus élevé","OK")))))))))))))))))</f>
        <v/>
      </c>
      <c r="AC201" s="59" t="str">
        <f>IF(OR(AA201="En retard",AA201="Échéance proche",AA201="Dans les délais",AA201="Échéance manquante",AA201="Action à définir",AA201="À réévaluer"),IF(OR(plan_who="",P201=plan_who),IF(N(Q201)&gt;0,Q201,99999)*1000+ROW(),""),"")</f>
        <v/>
      </c>
      <c r="AD201" s="59" t="str">
        <f>IF(L201="","",L201*1000+1000-ROW())</f>
        <v/>
      </c>
      <c r="AE201" s="59" t="str">
        <f>IF(IF(AA201="En retard",1,IF(AA201="Action à définir",2,IF(AA201="Échéance manquante",3,IF(AA201="Échéance proche",4,IF(AA201="À réévaluer",5,0)))))=0,"",IF(AA201="En retard",1,IF(AA201="Action à définir",2,IF(AA201="Échéance manquante",3,IF(AA201="Échéance proche",4,IF(AA201="À réévaluer",5,0)))))*100000000+IF(N(Q201)&gt;0,Q201,99999)*1000+ROW())</f>
        <v/>
      </c>
      <c r="AF201" s="59" t="str">
        <f>IF(X201&lt;&gt;"",X201,L201)</f>
        <v/>
      </c>
      <c r="AG201" s="59" t="str">
        <f>IF(X201&lt;&gt;"",Y201,IF(L201&lt;&gt;"",M201,""))</f>
        <v/>
      </c>
      <c r="AH201" s="59" t="str">
        <f>IF(L201="","",IF(X201&lt;&gt;"",U201,F201))</f>
        <v/>
      </c>
      <c r="AI201" s="59" t="str">
        <f>IF(L201="","",IF(X201&lt;&gt;"",V201,H201))</f>
        <v/>
      </c>
    </row>
    <row r="202" ht="30" customHeight="1">
      <c r="A202" s="50" t="n"/>
      <c r="B202" s="51" t="n"/>
      <c r="C202" s="51" t="n"/>
      <c r="D202" s="51" t="n"/>
      <c r="E202" s="51" t="n"/>
      <c r="F202" s="52" t="n"/>
      <c r="G202" s="51" t="n"/>
      <c r="H202" s="52" t="n"/>
      <c r="I202" s="51" t="n"/>
      <c r="J202" s="51" t="n"/>
      <c r="K202" s="52" t="n"/>
      <c r="L202" s="53" t="str">
        <f>IF(AND(IF(ISNUMBER(F202),AND(F202&gt;=1,F202&lt;=10,F202=INT(F202)),FALSE),IF(ISNUMBER(H202),AND(H202&gt;=1,H202&lt;=10,H202=INT(H202)),FALSE),IF(ISNUMBER(K202),AND(K202&gt;=1,K202&lt;=10,K202=INT(K202)),FALSE)),F202*H202*K202,"")</f>
        <v/>
      </c>
      <c r="M202" s="54" t="str">
        <f>IF(L202="",IF(D202="","","À coter"),IF(OR(F202&gt;=p_gmin,L202&gt;=p_ipr_crit),"Critique",IF(L202&gt;=p_ipr_act,"Élevée",IF(L202&gt;=p_ipr_watch,"Moyenne","Faible"))))</f>
        <v/>
      </c>
      <c r="N202" s="54" t="str">
        <f>IF(OR(M202="",M202="À coter"),"",IF(OR(M202="Critique",M202="Élevée"),"Oui","Non"))</f>
        <v/>
      </c>
      <c r="O202" s="51" t="n"/>
      <c r="P202" s="51" t="n"/>
      <c r="Q202" s="55" t="n"/>
      <c r="R202" s="50" t="n"/>
      <c r="S202" s="55" t="n"/>
      <c r="T202" s="56" t="n"/>
      <c r="U202" s="52" t="n"/>
      <c r="V202" s="52" t="n"/>
      <c r="W202" s="52" t="n"/>
      <c r="X202" s="53" t="str">
        <f>IF(AND(L202&lt;&gt;"",IF(ISNUMBER(U202),AND(U202&gt;=1,U202&lt;=10,U202=INT(U202)),FALSE),IF(ISNUMBER(V202),AND(V202&gt;=1,V202&lt;=10,V202=INT(V202)),FALSE),IF(ISNUMBER(W202),AND(W202&gt;=1,W202&lt;=10,W202=INT(W202)),FALSE)),U202*V202*W202,"")</f>
        <v/>
      </c>
      <c r="Y202" s="54" t="str">
        <f>IF(X202="","",IF(OR(U202&gt;=p_gmin,X202&gt;=p_ipr_crit),"Critique",IF(X202&gt;=p_ipr_act,"Élevée",IF(X202&gt;=p_ipr_watch,"Moyenne","Faible"))))</f>
        <v/>
      </c>
      <c r="Z202" s="57" t="str">
        <f>IF(X202="","",(L202-X202)/L202)</f>
        <v/>
      </c>
      <c r="AA202" s="54" t="str">
        <f>IF(AND(D202="",O202=""),"",IF(O202="",IF(N202="Oui","Action à définir",IF(N202="Non","Sans action","")),IF(R202="Annulée","Annulée",IF(R202="Réalisée",IF(X202="","À réévaluer","Réalisée"),IF(N(Q202)=0,"Échéance manquante",IF(Q202&lt;p_today,"En retard",IF(Q202-p_today&lt;=p_alert,"Échéance proche","Dans les délais")))))))</f>
        <v/>
      </c>
      <c r="AB202" s="58" t="str">
        <f>IF(AND(A202="",B202="",D202="",F202="",H202="",K202="",O202=""),"",IF(D202="","Mode de défaillance manquant",IF(AND(A202&lt;&gt;"",COUNTIF(am_num,A202)&gt;1),"N° en double",IF(F202="","Gravité G manquante",IF(NOT(IF(ISNUMBER(F202),AND(F202&gt;=1,F202&lt;=10,F202=INT(F202)),FALSE)),"G : entier de 1 à 10",IF(H202="","Occurrence O manquante",IF(NOT(IF(ISNUMBER(H202),AND(H202&gt;=1,H202&lt;=10,H202=INT(H202)),FALSE)),"O : entier de 1 à 10",IF(K202="","Détection D manquante",IF(NOT(IF(ISNUMBER(K202),AND(K202&gt;=1,K202&lt;=10,K202=INT(K202)),FALSE)),"D : entier de 1 à 10",IF(G202="","Cause manquante",IF(AND(O202&lt;&gt;"",P202=""),"Responsable manquant",IF(AND(R202&lt;&gt;"",O202=""),"Statut sans action",IF(AND(R202="Réalisée",N(S202)=0),"Date de réalisation manquante",IF(AND(T202&lt;&gt;"",IF(ISNUMBER(T202),T202&lt;0,TRUE)),"Coût invalide",IF(AND(COUNTBLANK(U202:W202)&gt;0,COUNTBLANK(U202:W202)&lt;3),"Cotation après action incomplète",IF(AND(COUNTBLANK(U202:W202)=0,X202=""),"G', O', D' : entiers de 1 à 10",IF(AND(X202&lt;&gt;"",X202&gt;L202),"IPR après action plus élevé","OK")))))))))))))))))</f>
        <v/>
      </c>
      <c r="AC202" s="59" t="str">
        <f>IF(OR(AA202="En retard",AA202="Échéance proche",AA202="Dans les délais",AA202="Échéance manquante",AA202="Action à définir",AA202="À réévaluer"),IF(OR(plan_who="",P202=plan_who),IF(N(Q202)&gt;0,Q202,99999)*1000+ROW(),""),"")</f>
        <v/>
      </c>
      <c r="AD202" s="59" t="str">
        <f>IF(L202="","",L202*1000+1000-ROW())</f>
        <v/>
      </c>
      <c r="AE202" s="59" t="str">
        <f>IF(IF(AA202="En retard",1,IF(AA202="Action à définir",2,IF(AA202="Échéance manquante",3,IF(AA202="Échéance proche",4,IF(AA202="À réévaluer",5,0)))))=0,"",IF(AA202="En retard",1,IF(AA202="Action à définir",2,IF(AA202="Échéance manquante",3,IF(AA202="Échéance proche",4,IF(AA202="À réévaluer",5,0)))))*100000000+IF(N(Q202)&gt;0,Q202,99999)*1000+ROW())</f>
        <v/>
      </c>
      <c r="AF202" s="59" t="str">
        <f>IF(X202&lt;&gt;"",X202,L202)</f>
        <v/>
      </c>
      <c r="AG202" s="59" t="str">
        <f>IF(X202&lt;&gt;"",Y202,IF(L202&lt;&gt;"",M202,""))</f>
        <v/>
      </c>
      <c r="AH202" s="59" t="str">
        <f>IF(L202="","",IF(X202&lt;&gt;"",U202,F202))</f>
        <v/>
      </c>
      <c r="AI202" s="59" t="str">
        <f>IF(L202="","",IF(X202&lt;&gt;"",V202,H202))</f>
        <v/>
      </c>
    </row>
    <row r="203" ht="30" customHeight="1">
      <c r="A203" s="50" t="n"/>
      <c r="B203" s="51" t="n"/>
      <c r="C203" s="51" t="n"/>
      <c r="D203" s="51" t="n"/>
      <c r="E203" s="51" t="n"/>
      <c r="F203" s="52" t="n"/>
      <c r="G203" s="51" t="n"/>
      <c r="H203" s="52" t="n"/>
      <c r="I203" s="51" t="n"/>
      <c r="J203" s="51" t="n"/>
      <c r="K203" s="52" t="n"/>
      <c r="L203" s="53" t="str">
        <f>IF(AND(IF(ISNUMBER(F203),AND(F203&gt;=1,F203&lt;=10,F203=INT(F203)),FALSE),IF(ISNUMBER(H203),AND(H203&gt;=1,H203&lt;=10,H203=INT(H203)),FALSE),IF(ISNUMBER(K203),AND(K203&gt;=1,K203&lt;=10,K203=INT(K203)),FALSE)),F203*H203*K203,"")</f>
        <v/>
      </c>
      <c r="M203" s="54" t="str">
        <f>IF(L203="",IF(D203="","","À coter"),IF(OR(F203&gt;=p_gmin,L203&gt;=p_ipr_crit),"Critique",IF(L203&gt;=p_ipr_act,"Élevée",IF(L203&gt;=p_ipr_watch,"Moyenne","Faible"))))</f>
        <v/>
      </c>
      <c r="N203" s="54" t="str">
        <f>IF(OR(M203="",M203="À coter"),"",IF(OR(M203="Critique",M203="Élevée"),"Oui","Non"))</f>
        <v/>
      </c>
      <c r="O203" s="51" t="n"/>
      <c r="P203" s="51" t="n"/>
      <c r="Q203" s="55" t="n"/>
      <c r="R203" s="50" t="n"/>
      <c r="S203" s="55" t="n"/>
      <c r="T203" s="56" t="n"/>
      <c r="U203" s="52" t="n"/>
      <c r="V203" s="52" t="n"/>
      <c r="W203" s="52" t="n"/>
      <c r="X203" s="53" t="str">
        <f>IF(AND(L203&lt;&gt;"",IF(ISNUMBER(U203),AND(U203&gt;=1,U203&lt;=10,U203=INT(U203)),FALSE),IF(ISNUMBER(V203),AND(V203&gt;=1,V203&lt;=10,V203=INT(V203)),FALSE),IF(ISNUMBER(W203),AND(W203&gt;=1,W203&lt;=10,W203=INT(W203)),FALSE)),U203*V203*W203,"")</f>
        <v/>
      </c>
      <c r="Y203" s="54" t="str">
        <f>IF(X203="","",IF(OR(U203&gt;=p_gmin,X203&gt;=p_ipr_crit),"Critique",IF(X203&gt;=p_ipr_act,"Élevée",IF(X203&gt;=p_ipr_watch,"Moyenne","Faible"))))</f>
        <v/>
      </c>
      <c r="Z203" s="57" t="str">
        <f>IF(X203="","",(L203-X203)/L203)</f>
        <v/>
      </c>
      <c r="AA203" s="54" t="str">
        <f>IF(AND(D203="",O203=""),"",IF(O203="",IF(N203="Oui","Action à définir",IF(N203="Non","Sans action","")),IF(R203="Annulée","Annulée",IF(R203="Réalisée",IF(X203="","À réévaluer","Réalisée"),IF(N(Q203)=0,"Échéance manquante",IF(Q203&lt;p_today,"En retard",IF(Q203-p_today&lt;=p_alert,"Échéance proche","Dans les délais")))))))</f>
        <v/>
      </c>
      <c r="AB203" s="58" t="str">
        <f>IF(AND(A203="",B203="",D203="",F203="",H203="",K203="",O203=""),"",IF(D203="","Mode de défaillance manquant",IF(AND(A203&lt;&gt;"",COUNTIF(am_num,A203)&gt;1),"N° en double",IF(F203="","Gravité G manquante",IF(NOT(IF(ISNUMBER(F203),AND(F203&gt;=1,F203&lt;=10,F203=INT(F203)),FALSE)),"G : entier de 1 à 10",IF(H203="","Occurrence O manquante",IF(NOT(IF(ISNUMBER(H203),AND(H203&gt;=1,H203&lt;=10,H203=INT(H203)),FALSE)),"O : entier de 1 à 10",IF(K203="","Détection D manquante",IF(NOT(IF(ISNUMBER(K203),AND(K203&gt;=1,K203&lt;=10,K203=INT(K203)),FALSE)),"D : entier de 1 à 10",IF(G203="","Cause manquante",IF(AND(O203&lt;&gt;"",P203=""),"Responsable manquant",IF(AND(R203&lt;&gt;"",O203=""),"Statut sans action",IF(AND(R203="Réalisée",N(S203)=0),"Date de réalisation manquante",IF(AND(T203&lt;&gt;"",IF(ISNUMBER(T203),T203&lt;0,TRUE)),"Coût invalide",IF(AND(COUNTBLANK(U203:W203)&gt;0,COUNTBLANK(U203:W203)&lt;3),"Cotation après action incomplète",IF(AND(COUNTBLANK(U203:W203)=0,X203=""),"G', O', D' : entiers de 1 à 10",IF(AND(X203&lt;&gt;"",X203&gt;L203),"IPR après action plus élevé","OK")))))))))))))))))</f>
        <v/>
      </c>
      <c r="AC203" s="59" t="str">
        <f>IF(OR(AA203="En retard",AA203="Échéance proche",AA203="Dans les délais",AA203="Échéance manquante",AA203="Action à définir",AA203="À réévaluer"),IF(OR(plan_who="",P203=plan_who),IF(N(Q203)&gt;0,Q203,99999)*1000+ROW(),""),"")</f>
        <v/>
      </c>
      <c r="AD203" s="59" t="str">
        <f>IF(L203="","",L203*1000+1000-ROW())</f>
        <v/>
      </c>
      <c r="AE203" s="59" t="str">
        <f>IF(IF(AA203="En retard",1,IF(AA203="Action à définir",2,IF(AA203="Échéance manquante",3,IF(AA203="Échéance proche",4,IF(AA203="À réévaluer",5,0)))))=0,"",IF(AA203="En retard",1,IF(AA203="Action à définir",2,IF(AA203="Échéance manquante",3,IF(AA203="Échéance proche",4,IF(AA203="À réévaluer",5,0)))))*100000000+IF(N(Q203)&gt;0,Q203,99999)*1000+ROW())</f>
        <v/>
      </c>
      <c r="AF203" s="59" t="str">
        <f>IF(X203&lt;&gt;"",X203,L203)</f>
        <v/>
      </c>
      <c r="AG203" s="59" t="str">
        <f>IF(X203&lt;&gt;"",Y203,IF(L203&lt;&gt;"",M203,""))</f>
        <v/>
      </c>
      <c r="AH203" s="59" t="str">
        <f>IF(L203="","",IF(X203&lt;&gt;"",U203,F203))</f>
        <v/>
      </c>
      <c r="AI203" s="59" t="str">
        <f>IF(L203="","",IF(X203&lt;&gt;"",V203,H203))</f>
        <v/>
      </c>
    </row>
    <row r="204" ht="30" customHeight="1">
      <c r="A204" s="50" t="n"/>
      <c r="B204" s="51" t="n"/>
      <c r="C204" s="51" t="n"/>
      <c r="D204" s="51" t="n"/>
      <c r="E204" s="51" t="n"/>
      <c r="F204" s="52" t="n"/>
      <c r="G204" s="51" t="n"/>
      <c r="H204" s="52" t="n"/>
      <c r="I204" s="51" t="n"/>
      <c r="J204" s="51" t="n"/>
      <c r="K204" s="52" t="n"/>
      <c r="L204" s="53" t="str">
        <f>IF(AND(IF(ISNUMBER(F204),AND(F204&gt;=1,F204&lt;=10,F204=INT(F204)),FALSE),IF(ISNUMBER(H204),AND(H204&gt;=1,H204&lt;=10,H204=INT(H204)),FALSE),IF(ISNUMBER(K204),AND(K204&gt;=1,K204&lt;=10,K204=INT(K204)),FALSE)),F204*H204*K204,"")</f>
        <v/>
      </c>
      <c r="M204" s="54" t="str">
        <f>IF(L204="",IF(D204="","","À coter"),IF(OR(F204&gt;=p_gmin,L204&gt;=p_ipr_crit),"Critique",IF(L204&gt;=p_ipr_act,"Élevée",IF(L204&gt;=p_ipr_watch,"Moyenne","Faible"))))</f>
        <v/>
      </c>
      <c r="N204" s="54" t="str">
        <f>IF(OR(M204="",M204="À coter"),"",IF(OR(M204="Critique",M204="Élevée"),"Oui","Non"))</f>
        <v/>
      </c>
      <c r="O204" s="51" t="n"/>
      <c r="P204" s="51" t="n"/>
      <c r="Q204" s="55" t="n"/>
      <c r="R204" s="50" t="n"/>
      <c r="S204" s="55" t="n"/>
      <c r="T204" s="56" t="n"/>
      <c r="U204" s="52" t="n"/>
      <c r="V204" s="52" t="n"/>
      <c r="W204" s="52" t="n"/>
      <c r="X204" s="53" t="str">
        <f>IF(AND(L204&lt;&gt;"",IF(ISNUMBER(U204),AND(U204&gt;=1,U204&lt;=10,U204=INT(U204)),FALSE),IF(ISNUMBER(V204),AND(V204&gt;=1,V204&lt;=10,V204=INT(V204)),FALSE),IF(ISNUMBER(W204),AND(W204&gt;=1,W204&lt;=10,W204=INT(W204)),FALSE)),U204*V204*W204,"")</f>
        <v/>
      </c>
      <c r="Y204" s="54" t="str">
        <f>IF(X204="","",IF(OR(U204&gt;=p_gmin,X204&gt;=p_ipr_crit),"Critique",IF(X204&gt;=p_ipr_act,"Élevée",IF(X204&gt;=p_ipr_watch,"Moyenne","Faible"))))</f>
        <v/>
      </c>
      <c r="Z204" s="57" t="str">
        <f>IF(X204="","",(L204-X204)/L204)</f>
        <v/>
      </c>
      <c r="AA204" s="54" t="str">
        <f>IF(AND(D204="",O204=""),"",IF(O204="",IF(N204="Oui","Action à définir",IF(N204="Non","Sans action","")),IF(R204="Annulée","Annulée",IF(R204="Réalisée",IF(X204="","À réévaluer","Réalisée"),IF(N(Q204)=0,"Échéance manquante",IF(Q204&lt;p_today,"En retard",IF(Q204-p_today&lt;=p_alert,"Échéance proche","Dans les délais")))))))</f>
        <v/>
      </c>
      <c r="AB204" s="58" t="str">
        <f>IF(AND(A204="",B204="",D204="",F204="",H204="",K204="",O204=""),"",IF(D204="","Mode de défaillance manquant",IF(AND(A204&lt;&gt;"",COUNTIF(am_num,A204)&gt;1),"N° en double",IF(F204="","Gravité G manquante",IF(NOT(IF(ISNUMBER(F204),AND(F204&gt;=1,F204&lt;=10,F204=INT(F204)),FALSE)),"G : entier de 1 à 10",IF(H204="","Occurrence O manquante",IF(NOT(IF(ISNUMBER(H204),AND(H204&gt;=1,H204&lt;=10,H204=INT(H204)),FALSE)),"O : entier de 1 à 10",IF(K204="","Détection D manquante",IF(NOT(IF(ISNUMBER(K204),AND(K204&gt;=1,K204&lt;=10,K204=INT(K204)),FALSE)),"D : entier de 1 à 10",IF(G204="","Cause manquante",IF(AND(O204&lt;&gt;"",P204=""),"Responsable manquant",IF(AND(R204&lt;&gt;"",O204=""),"Statut sans action",IF(AND(R204="Réalisée",N(S204)=0),"Date de réalisation manquante",IF(AND(T204&lt;&gt;"",IF(ISNUMBER(T204),T204&lt;0,TRUE)),"Coût invalide",IF(AND(COUNTBLANK(U204:W204)&gt;0,COUNTBLANK(U204:W204)&lt;3),"Cotation après action incomplète",IF(AND(COUNTBLANK(U204:W204)=0,X204=""),"G', O', D' : entiers de 1 à 10",IF(AND(X204&lt;&gt;"",X204&gt;L204),"IPR après action plus élevé","OK")))))))))))))))))</f>
        <v/>
      </c>
      <c r="AC204" s="59" t="str">
        <f>IF(OR(AA204="En retard",AA204="Échéance proche",AA204="Dans les délais",AA204="Échéance manquante",AA204="Action à définir",AA204="À réévaluer"),IF(OR(plan_who="",P204=plan_who),IF(N(Q204)&gt;0,Q204,99999)*1000+ROW(),""),"")</f>
        <v/>
      </c>
      <c r="AD204" s="59" t="str">
        <f>IF(L204="","",L204*1000+1000-ROW())</f>
        <v/>
      </c>
      <c r="AE204" s="59" t="str">
        <f>IF(IF(AA204="En retard",1,IF(AA204="Action à définir",2,IF(AA204="Échéance manquante",3,IF(AA204="Échéance proche",4,IF(AA204="À réévaluer",5,0)))))=0,"",IF(AA204="En retard",1,IF(AA204="Action à définir",2,IF(AA204="Échéance manquante",3,IF(AA204="Échéance proche",4,IF(AA204="À réévaluer",5,0)))))*100000000+IF(N(Q204)&gt;0,Q204,99999)*1000+ROW())</f>
        <v/>
      </c>
      <c r="AF204" s="59" t="str">
        <f>IF(X204&lt;&gt;"",X204,L204)</f>
        <v/>
      </c>
      <c r="AG204" s="59" t="str">
        <f>IF(X204&lt;&gt;"",Y204,IF(L204&lt;&gt;"",M204,""))</f>
        <v/>
      </c>
      <c r="AH204" s="59" t="str">
        <f>IF(L204="","",IF(X204&lt;&gt;"",U204,F204))</f>
        <v/>
      </c>
      <c r="AI204" s="59" t="str">
        <f>IF(L204="","",IF(X204&lt;&gt;"",V204,H204))</f>
        <v/>
      </c>
    </row>
    <row r="205" ht="30" customHeight="1">
      <c r="A205" s="50" t="n"/>
      <c r="B205" s="51" t="n"/>
      <c r="C205" s="51" t="n"/>
      <c r="D205" s="51" t="n"/>
      <c r="E205" s="51" t="n"/>
      <c r="F205" s="52" t="n"/>
      <c r="G205" s="51" t="n"/>
      <c r="H205" s="52" t="n"/>
      <c r="I205" s="51" t="n"/>
      <c r="J205" s="51" t="n"/>
      <c r="K205" s="52" t="n"/>
      <c r="L205" s="53" t="str">
        <f>IF(AND(IF(ISNUMBER(F205),AND(F205&gt;=1,F205&lt;=10,F205=INT(F205)),FALSE),IF(ISNUMBER(H205),AND(H205&gt;=1,H205&lt;=10,H205=INT(H205)),FALSE),IF(ISNUMBER(K205),AND(K205&gt;=1,K205&lt;=10,K205=INT(K205)),FALSE)),F205*H205*K205,"")</f>
        <v/>
      </c>
      <c r="M205" s="54" t="str">
        <f>IF(L205="",IF(D205="","","À coter"),IF(OR(F205&gt;=p_gmin,L205&gt;=p_ipr_crit),"Critique",IF(L205&gt;=p_ipr_act,"Élevée",IF(L205&gt;=p_ipr_watch,"Moyenne","Faible"))))</f>
        <v/>
      </c>
      <c r="N205" s="54" t="str">
        <f>IF(OR(M205="",M205="À coter"),"",IF(OR(M205="Critique",M205="Élevée"),"Oui","Non"))</f>
        <v/>
      </c>
      <c r="O205" s="51" t="n"/>
      <c r="P205" s="51" t="n"/>
      <c r="Q205" s="55" t="n"/>
      <c r="R205" s="50" t="n"/>
      <c r="S205" s="55" t="n"/>
      <c r="T205" s="56" t="n"/>
      <c r="U205" s="52" t="n"/>
      <c r="V205" s="52" t="n"/>
      <c r="W205" s="52" t="n"/>
      <c r="X205" s="53" t="str">
        <f>IF(AND(L205&lt;&gt;"",IF(ISNUMBER(U205),AND(U205&gt;=1,U205&lt;=10,U205=INT(U205)),FALSE),IF(ISNUMBER(V205),AND(V205&gt;=1,V205&lt;=10,V205=INT(V205)),FALSE),IF(ISNUMBER(W205),AND(W205&gt;=1,W205&lt;=10,W205=INT(W205)),FALSE)),U205*V205*W205,"")</f>
        <v/>
      </c>
      <c r="Y205" s="54" t="str">
        <f>IF(X205="","",IF(OR(U205&gt;=p_gmin,X205&gt;=p_ipr_crit),"Critique",IF(X205&gt;=p_ipr_act,"Élevée",IF(X205&gt;=p_ipr_watch,"Moyenne","Faible"))))</f>
        <v/>
      </c>
      <c r="Z205" s="57" t="str">
        <f>IF(X205="","",(L205-X205)/L205)</f>
        <v/>
      </c>
      <c r="AA205" s="54" t="str">
        <f>IF(AND(D205="",O205=""),"",IF(O205="",IF(N205="Oui","Action à définir",IF(N205="Non","Sans action","")),IF(R205="Annulée","Annulée",IF(R205="Réalisée",IF(X205="","À réévaluer","Réalisée"),IF(N(Q205)=0,"Échéance manquante",IF(Q205&lt;p_today,"En retard",IF(Q205-p_today&lt;=p_alert,"Échéance proche","Dans les délais")))))))</f>
        <v/>
      </c>
      <c r="AB205" s="58" t="str">
        <f>IF(AND(A205="",B205="",D205="",F205="",H205="",K205="",O205=""),"",IF(D205="","Mode de défaillance manquant",IF(AND(A205&lt;&gt;"",COUNTIF(am_num,A205)&gt;1),"N° en double",IF(F205="","Gravité G manquante",IF(NOT(IF(ISNUMBER(F205),AND(F205&gt;=1,F205&lt;=10,F205=INT(F205)),FALSE)),"G : entier de 1 à 10",IF(H205="","Occurrence O manquante",IF(NOT(IF(ISNUMBER(H205),AND(H205&gt;=1,H205&lt;=10,H205=INT(H205)),FALSE)),"O : entier de 1 à 10",IF(K205="","Détection D manquante",IF(NOT(IF(ISNUMBER(K205),AND(K205&gt;=1,K205&lt;=10,K205=INT(K205)),FALSE)),"D : entier de 1 à 10",IF(G205="","Cause manquante",IF(AND(O205&lt;&gt;"",P205=""),"Responsable manquant",IF(AND(R205&lt;&gt;"",O205=""),"Statut sans action",IF(AND(R205="Réalisée",N(S205)=0),"Date de réalisation manquante",IF(AND(T205&lt;&gt;"",IF(ISNUMBER(T205),T205&lt;0,TRUE)),"Coût invalide",IF(AND(COUNTBLANK(U205:W205)&gt;0,COUNTBLANK(U205:W205)&lt;3),"Cotation après action incomplète",IF(AND(COUNTBLANK(U205:W205)=0,X205=""),"G', O', D' : entiers de 1 à 10",IF(AND(X205&lt;&gt;"",X205&gt;L205),"IPR après action plus élevé","OK")))))))))))))))))</f>
        <v/>
      </c>
      <c r="AC205" s="59" t="str">
        <f>IF(OR(AA205="En retard",AA205="Échéance proche",AA205="Dans les délais",AA205="Échéance manquante",AA205="Action à définir",AA205="À réévaluer"),IF(OR(plan_who="",P205=plan_who),IF(N(Q205)&gt;0,Q205,99999)*1000+ROW(),""),"")</f>
        <v/>
      </c>
      <c r="AD205" s="59" t="str">
        <f>IF(L205="","",L205*1000+1000-ROW())</f>
        <v/>
      </c>
      <c r="AE205" s="59" t="str">
        <f>IF(IF(AA205="En retard",1,IF(AA205="Action à définir",2,IF(AA205="Échéance manquante",3,IF(AA205="Échéance proche",4,IF(AA205="À réévaluer",5,0)))))=0,"",IF(AA205="En retard",1,IF(AA205="Action à définir",2,IF(AA205="Échéance manquante",3,IF(AA205="Échéance proche",4,IF(AA205="À réévaluer",5,0)))))*100000000+IF(N(Q205)&gt;0,Q205,99999)*1000+ROW())</f>
        <v/>
      </c>
      <c r="AF205" s="59" t="str">
        <f>IF(X205&lt;&gt;"",X205,L205)</f>
        <v/>
      </c>
      <c r="AG205" s="59" t="str">
        <f>IF(X205&lt;&gt;"",Y205,IF(L205&lt;&gt;"",M205,""))</f>
        <v/>
      </c>
      <c r="AH205" s="59" t="str">
        <f>IF(L205="","",IF(X205&lt;&gt;"",U205,F205))</f>
        <v/>
      </c>
      <c r="AI205" s="59" t="str">
        <f>IF(L205="","",IF(X205&lt;&gt;"",V205,H205))</f>
        <v/>
      </c>
    </row>
    <row r="206" ht="30" customHeight="1">
      <c r="A206" s="50" t="n"/>
      <c r="B206" s="51" t="n"/>
      <c r="C206" s="51" t="n"/>
      <c r="D206" s="51" t="n"/>
      <c r="E206" s="51" t="n"/>
      <c r="F206" s="52" t="n"/>
      <c r="G206" s="51" t="n"/>
      <c r="H206" s="52" t="n"/>
      <c r="I206" s="51" t="n"/>
      <c r="J206" s="51" t="n"/>
      <c r="K206" s="52" t="n"/>
      <c r="L206" s="53" t="str">
        <f>IF(AND(IF(ISNUMBER(F206),AND(F206&gt;=1,F206&lt;=10,F206=INT(F206)),FALSE),IF(ISNUMBER(H206),AND(H206&gt;=1,H206&lt;=10,H206=INT(H206)),FALSE),IF(ISNUMBER(K206),AND(K206&gt;=1,K206&lt;=10,K206=INT(K206)),FALSE)),F206*H206*K206,"")</f>
        <v/>
      </c>
      <c r="M206" s="54" t="str">
        <f>IF(L206="",IF(D206="","","À coter"),IF(OR(F206&gt;=p_gmin,L206&gt;=p_ipr_crit),"Critique",IF(L206&gt;=p_ipr_act,"Élevée",IF(L206&gt;=p_ipr_watch,"Moyenne","Faible"))))</f>
        <v/>
      </c>
      <c r="N206" s="54" t="str">
        <f>IF(OR(M206="",M206="À coter"),"",IF(OR(M206="Critique",M206="Élevée"),"Oui","Non"))</f>
        <v/>
      </c>
      <c r="O206" s="51" t="n"/>
      <c r="P206" s="51" t="n"/>
      <c r="Q206" s="55" t="n"/>
      <c r="R206" s="50" t="n"/>
      <c r="S206" s="55" t="n"/>
      <c r="T206" s="56" t="n"/>
      <c r="U206" s="52" t="n"/>
      <c r="V206" s="52" t="n"/>
      <c r="W206" s="52" t="n"/>
      <c r="X206" s="53" t="str">
        <f>IF(AND(L206&lt;&gt;"",IF(ISNUMBER(U206),AND(U206&gt;=1,U206&lt;=10,U206=INT(U206)),FALSE),IF(ISNUMBER(V206),AND(V206&gt;=1,V206&lt;=10,V206=INT(V206)),FALSE),IF(ISNUMBER(W206),AND(W206&gt;=1,W206&lt;=10,W206=INT(W206)),FALSE)),U206*V206*W206,"")</f>
        <v/>
      </c>
      <c r="Y206" s="54" t="str">
        <f>IF(X206="","",IF(OR(U206&gt;=p_gmin,X206&gt;=p_ipr_crit),"Critique",IF(X206&gt;=p_ipr_act,"Élevée",IF(X206&gt;=p_ipr_watch,"Moyenne","Faible"))))</f>
        <v/>
      </c>
      <c r="Z206" s="57" t="str">
        <f>IF(X206="","",(L206-X206)/L206)</f>
        <v/>
      </c>
      <c r="AA206" s="54" t="str">
        <f>IF(AND(D206="",O206=""),"",IF(O206="",IF(N206="Oui","Action à définir",IF(N206="Non","Sans action","")),IF(R206="Annulée","Annulée",IF(R206="Réalisée",IF(X206="","À réévaluer","Réalisée"),IF(N(Q206)=0,"Échéance manquante",IF(Q206&lt;p_today,"En retard",IF(Q206-p_today&lt;=p_alert,"Échéance proche","Dans les délais")))))))</f>
        <v/>
      </c>
      <c r="AB206" s="58" t="str">
        <f>IF(AND(A206="",B206="",D206="",F206="",H206="",K206="",O206=""),"",IF(D206="","Mode de défaillance manquant",IF(AND(A206&lt;&gt;"",COUNTIF(am_num,A206)&gt;1),"N° en double",IF(F206="","Gravité G manquante",IF(NOT(IF(ISNUMBER(F206),AND(F206&gt;=1,F206&lt;=10,F206=INT(F206)),FALSE)),"G : entier de 1 à 10",IF(H206="","Occurrence O manquante",IF(NOT(IF(ISNUMBER(H206),AND(H206&gt;=1,H206&lt;=10,H206=INT(H206)),FALSE)),"O : entier de 1 à 10",IF(K206="","Détection D manquante",IF(NOT(IF(ISNUMBER(K206),AND(K206&gt;=1,K206&lt;=10,K206=INT(K206)),FALSE)),"D : entier de 1 à 10",IF(G206="","Cause manquante",IF(AND(O206&lt;&gt;"",P206=""),"Responsable manquant",IF(AND(R206&lt;&gt;"",O206=""),"Statut sans action",IF(AND(R206="Réalisée",N(S206)=0),"Date de réalisation manquante",IF(AND(T206&lt;&gt;"",IF(ISNUMBER(T206),T206&lt;0,TRUE)),"Coût invalide",IF(AND(COUNTBLANK(U206:W206)&gt;0,COUNTBLANK(U206:W206)&lt;3),"Cotation après action incomplète",IF(AND(COUNTBLANK(U206:W206)=0,X206=""),"G', O', D' : entiers de 1 à 10",IF(AND(X206&lt;&gt;"",X206&gt;L206),"IPR après action plus élevé","OK")))))))))))))))))</f>
        <v/>
      </c>
      <c r="AC206" s="59" t="str">
        <f>IF(OR(AA206="En retard",AA206="Échéance proche",AA206="Dans les délais",AA206="Échéance manquante",AA206="Action à définir",AA206="À réévaluer"),IF(OR(plan_who="",P206=plan_who),IF(N(Q206)&gt;0,Q206,99999)*1000+ROW(),""),"")</f>
        <v/>
      </c>
      <c r="AD206" s="59" t="str">
        <f>IF(L206="","",L206*1000+1000-ROW())</f>
        <v/>
      </c>
      <c r="AE206" s="59" t="str">
        <f>IF(IF(AA206="En retard",1,IF(AA206="Action à définir",2,IF(AA206="Échéance manquante",3,IF(AA206="Échéance proche",4,IF(AA206="À réévaluer",5,0)))))=0,"",IF(AA206="En retard",1,IF(AA206="Action à définir",2,IF(AA206="Échéance manquante",3,IF(AA206="Échéance proche",4,IF(AA206="À réévaluer",5,0)))))*100000000+IF(N(Q206)&gt;0,Q206,99999)*1000+ROW())</f>
        <v/>
      </c>
      <c r="AF206" s="59" t="str">
        <f>IF(X206&lt;&gt;"",X206,L206)</f>
        <v/>
      </c>
      <c r="AG206" s="59" t="str">
        <f>IF(X206&lt;&gt;"",Y206,IF(L206&lt;&gt;"",M206,""))</f>
        <v/>
      </c>
      <c r="AH206" s="59" t="str">
        <f>IF(L206="","",IF(X206&lt;&gt;"",U206,F206))</f>
        <v/>
      </c>
      <c r="AI206" s="59" t="str">
        <f>IF(L206="","",IF(X206&lt;&gt;"",V206,H206))</f>
        <v/>
      </c>
    </row>
    <row r="207" ht="30" customHeight="1">
      <c r="A207" s="50" t="n"/>
      <c r="B207" s="51" t="n"/>
      <c r="C207" s="51" t="n"/>
      <c r="D207" s="51" t="n"/>
      <c r="E207" s="51" t="n"/>
      <c r="F207" s="52" t="n"/>
      <c r="G207" s="51" t="n"/>
      <c r="H207" s="52" t="n"/>
      <c r="I207" s="51" t="n"/>
      <c r="J207" s="51" t="n"/>
      <c r="K207" s="52" t="n"/>
      <c r="L207" s="53" t="str">
        <f>IF(AND(IF(ISNUMBER(F207),AND(F207&gt;=1,F207&lt;=10,F207=INT(F207)),FALSE),IF(ISNUMBER(H207),AND(H207&gt;=1,H207&lt;=10,H207=INT(H207)),FALSE),IF(ISNUMBER(K207),AND(K207&gt;=1,K207&lt;=10,K207=INT(K207)),FALSE)),F207*H207*K207,"")</f>
        <v/>
      </c>
      <c r="M207" s="54" t="str">
        <f>IF(L207="",IF(D207="","","À coter"),IF(OR(F207&gt;=p_gmin,L207&gt;=p_ipr_crit),"Critique",IF(L207&gt;=p_ipr_act,"Élevée",IF(L207&gt;=p_ipr_watch,"Moyenne","Faible"))))</f>
        <v/>
      </c>
      <c r="N207" s="54" t="str">
        <f>IF(OR(M207="",M207="À coter"),"",IF(OR(M207="Critique",M207="Élevée"),"Oui","Non"))</f>
        <v/>
      </c>
      <c r="O207" s="51" t="n"/>
      <c r="P207" s="51" t="n"/>
      <c r="Q207" s="55" t="n"/>
      <c r="R207" s="50" t="n"/>
      <c r="S207" s="55" t="n"/>
      <c r="T207" s="56" t="n"/>
      <c r="U207" s="52" t="n"/>
      <c r="V207" s="52" t="n"/>
      <c r="W207" s="52" t="n"/>
      <c r="X207" s="53" t="str">
        <f>IF(AND(L207&lt;&gt;"",IF(ISNUMBER(U207),AND(U207&gt;=1,U207&lt;=10,U207=INT(U207)),FALSE),IF(ISNUMBER(V207),AND(V207&gt;=1,V207&lt;=10,V207=INT(V207)),FALSE),IF(ISNUMBER(W207),AND(W207&gt;=1,W207&lt;=10,W207=INT(W207)),FALSE)),U207*V207*W207,"")</f>
        <v/>
      </c>
      <c r="Y207" s="54" t="str">
        <f>IF(X207="","",IF(OR(U207&gt;=p_gmin,X207&gt;=p_ipr_crit),"Critique",IF(X207&gt;=p_ipr_act,"Élevée",IF(X207&gt;=p_ipr_watch,"Moyenne","Faible"))))</f>
        <v/>
      </c>
      <c r="Z207" s="57" t="str">
        <f>IF(X207="","",(L207-X207)/L207)</f>
        <v/>
      </c>
      <c r="AA207" s="54" t="str">
        <f>IF(AND(D207="",O207=""),"",IF(O207="",IF(N207="Oui","Action à définir",IF(N207="Non","Sans action","")),IF(R207="Annulée","Annulée",IF(R207="Réalisée",IF(X207="","À réévaluer","Réalisée"),IF(N(Q207)=0,"Échéance manquante",IF(Q207&lt;p_today,"En retard",IF(Q207-p_today&lt;=p_alert,"Échéance proche","Dans les délais")))))))</f>
        <v/>
      </c>
      <c r="AB207" s="58" t="str">
        <f>IF(AND(A207="",B207="",D207="",F207="",H207="",K207="",O207=""),"",IF(D207="","Mode de défaillance manquant",IF(AND(A207&lt;&gt;"",COUNTIF(am_num,A207)&gt;1),"N° en double",IF(F207="","Gravité G manquante",IF(NOT(IF(ISNUMBER(F207),AND(F207&gt;=1,F207&lt;=10,F207=INT(F207)),FALSE)),"G : entier de 1 à 10",IF(H207="","Occurrence O manquante",IF(NOT(IF(ISNUMBER(H207),AND(H207&gt;=1,H207&lt;=10,H207=INT(H207)),FALSE)),"O : entier de 1 à 10",IF(K207="","Détection D manquante",IF(NOT(IF(ISNUMBER(K207),AND(K207&gt;=1,K207&lt;=10,K207=INT(K207)),FALSE)),"D : entier de 1 à 10",IF(G207="","Cause manquante",IF(AND(O207&lt;&gt;"",P207=""),"Responsable manquant",IF(AND(R207&lt;&gt;"",O207=""),"Statut sans action",IF(AND(R207="Réalisée",N(S207)=0),"Date de réalisation manquante",IF(AND(T207&lt;&gt;"",IF(ISNUMBER(T207),T207&lt;0,TRUE)),"Coût invalide",IF(AND(COUNTBLANK(U207:W207)&gt;0,COUNTBLANK(U207:W207)&lt;3),"Cotation après action incomplète",IF(AND(COUNTBLANK(U207:W207)=0,X207=""),"G', O', D' : entiers de 1 à 10",IF(AND(X207&lt;&gt;"",X207&gt;L207),"IPR après action plus élevé","OK")))))))))))))))))</f>
        <v/>
      </c>
      <c r="AC207" s="59" t="str">
        <f>IF(OR(AA207="En retard",AA207="Échéance proche",AA207="Dans les délais",AA207="Échéance manquante",AA207="Action à définir",AA207="À réévaluer"),IF(OR(plan_who="",P207=plan_who),IF(N(Q207)&gt;0,Q207,99999)*1000+ROW(),""),"")</f>
        <v/>
      </c>
      <c r="AD207" s="59" t="str">
        <f>IF(L207="","",L207*1000+1000-ROW())</f>
        <v/>
      </c>
      <c r="AE207" s="59" t="str">
        <f>IF(IF(AA207="En retard",1,IF(AA207="Action à définir",2,IF(AA207="Échéance manquante",3,IF(AA207="Échéance proche",4,IF(AA207="À réévaluer",5,0)))))=0,"",IF(AA207="En retard",1,IF(AA207="Action à définir",2,IF(AA207="Échéance manquante",3,IF(AA207="Échéance proche",4,IF(AA207="À réévaluer",5,0)))))*100000000+IF(N(Q207)&gt;0,Q207,99999)*1000+ROW())</f>
        <v/>
      </c>
      <c r="AF207" s="59" t="str">
        <f>IF(X207&lt;&gt;"",X207,L207)</f>
        <v/>
      </c>
      <c r="AG207" s="59" t="str">
        <f>IF(X207&lt;&gt;"",Y207,IF(L207&lt;&gt;"",M207,""))</f>
        <v/>
      </c>
      <c r="AH207" s="59" t="str">
        <f>IF(L207="","",IF(X207&lt;&gt;"",U207,F207))</f>
        <v/>
      </c>
      <c r="AI207" s="59" t="str">
        <f>IF(L207="","",IF(X207&lt;&gt;"",V207,H207))</f>
        <v/>
      </c>
    </row>
    <row r="208" ht="30" customHeight="1">
      <c r="A208" s="50" t="n"/>
      <c r="B208" s="51" t="n"/>
      <c r="C208" s="51" t="n"/>
      <c r="D208" s="51" t="n"/>
      <c r="E208" s="51" t="n"/>
      <c r="F208" s="52" t="n"/>
      <c r="G208" s="51" t="n"/>
      <c r="H208" s="52" t="n"/>
      <c r="I208" s="51" t="n"/>
      <c r="J208" s="51" t="n"/>
      <c r="K208" s="52" t="n"/>
      <c r="L208" s="53" t="str">
        <f>IF(AND(IF(ISNUMBER(F208),AND(F208&gt;=1,F208&lt;=10,F208=INT(F208)),FALSE),IF(ISNUMBER(H208),AND(H208&gt;=1,H208&lt;=10,H208=INT(H208)),FALSE),IF(ISNUMBER(K208),AND(K208&gt;=1,K208&lt;=10,K208=INT(K208)),FALSE)),F208*H208*K208,"")</f>
        <v/>
      </c>
      <c r="M208" s="54" t="str">
        <f>IF(L208="",IF(D208="","","À coter"),IF(OR(F208&gt;=p_gmin,L208&gt;=p_ipr_crit),"Critique",IF(L208&gt;=p_ipr_act,"Élevée",IF(L208&gt;=p_ipr_watch,"Moyenne","Faible"))))</f>
        <v/>
      </c>
      <c r="N208" s="54" t="str">
        <f>IF(OR(M208="",M208="À coter"),"",IF(OR(M208="Critique",M208="Élevée"),"Oui","Non"))</f>
        <v/>
      </c>
      <c r="O208" s="51" t="n"/>
      <c r="P208" s="51" t="n"/>
      <c r="Q208" s="55" t="n"/>
      <c r="R208" s="50" t="n"/>
      <c r="S208" s="55" t="n"/>
      <c r="T208" s="56" t="n"/>
      <c r="U208" s="52" t="n"/>
      <c r="V208" s="52" t="n"/>
      <c r="W208" s="52" t="n"/>
      <c r="X208" s="53" t="str">
        <f>IF(AND(L208&lt;&gt;"",IF(ISNUMBER(U208),AND(U208&gt;=1,U208&lt;=10,U208=INT(U208)),FALSE),IF(ISNUMBER(V208),AND(V208&gt;=1,V208&lt;=10,V208=INT(V208)),FALSE),IF(ISNUMBER(W208),AND(W208&gt;=1,W208&lt;=10,W208=INT(W208)),FALSE)),U208*V208*W208,"")</f>
        <v/>
      </c>
      <c r="Y208" s="54" t="str">
        <f>IF(X208="","",IF(OR(U208&gt;=p_gmin,X208&gt;=p_ipr_crit),"Critique",IF(X208&gt;=p_ipr_act,"Élevée",IF(X208&gt;=p_ipr_watch,"Moyenne","Faible"))))</f>
        <v/>
      </c>
      <c r="Z208" s="57" t="str">
        <f>IF(X208="","",(L208-X208)/L208)</f>
        <v/>
      </c>
      <c r="AA208" s="54" t="str">
        <f>IF(AND(D208="",O208=""),"",IF(O208="",IF(N208="Oui","Action à définir",IF(N208="Non","Sans action","")),IF(R208="Annulée","Annulée",IF(R208="Réalisée",IF(X208="","À réévaluer","Réalisée"),IF(N(Q208)=0,"Échéance manquante",IF(Q208&lt;p_today,"En retard",IF(Q208-p_today&lt;=p_alert,"Échéance proche","Dans les délais")))))))</f>
        <v/>
      </c>
      <c r="AB208" s="58" t="str">
        <f>IF(AND(A208="",B208="",D208="",F208="",H208="",K208="",O208=""),"",IF(D208="","Mode de défaillance manquant",IF(AND(A208&lt;&gt;"",COUNTIF(am_num,A208)&gt;1),"N° en double",IF(F208="","Gravité G manquante",IF(NOT(IF(ISNUMBER(F208),AND(F208&gt;=1,F208&lt;=10,F208=INT(F208)),FALSE)),"G : entier de 1 à 10",IF(H208="","Occurrence O manquante",IF(NOT(IF(ISNUMBER(H208),AND(H208&gt;=1,H208&lt;=10,H208=INT(H208)),FALSE)),"O : entier de 1 à 10",IF(K208="","Détection D manquante",IF(NOT(IF(ISNUMBER(K208),AND(K208&gt;=1,K208&lt;=10,K208=INT(K208)),FALSE)),"D : entier de 1 à 10",IF(G208="","Cause manquante",IF(AND(O208&lt;&gt;"",P208=""),"Responsable manquant",IF(AND(R208&lt;&gt;"",O208=""),"Statut sans action",IF(AND(R208="Réalisée",N(S208)=0),"Date de réalisation manquante",IF(AND(T208&lt;&gt;"",IF(ISNUMBER(T208),T208&lt;0,TRUE)),"Coût invalide",IF(AND(COUNTBLANK(U208:W208)&gt;0,COUNTBLANK(U208:W208)&lt;3),"Cotation après action incomplète",IF(AND(COUNTBLANK(U208:W208)=0,X208=""),"G', O', D' : entiers de 1 à 10",IF(AND(X208&lt;&gt;"",X208&gt;L208),"IPR après action plus élevé","OK")))))))))))))))))</f>
        <v/>
      </c>
      <c r="AC208" s="59" t="str">
        <f>IF(OR(AA208="En retard",AA208="Échéance proche",AA208="Dans les délais",AA208="Échéance manquante",AA208="Action à définir",AA208="À réévaluer"),IF(OR(plan_who="",P208=plan_who),IF(N(Q208)&gt;0,Q208,99999)*1000+ROW(),""),"")</f>
        <v/>
      </c>
      <c r="AD208" s="59" t="str">
        <f>IF(L208="","",L208*1000+1000-ROW())</f>
        <v/>
      </c>
      <c r="AE208" s="59" t="str">
        <f>IF(IF(AA208="En retard",1,IF(AA208="Action à définir",2,IF(AA208="Échéance manquante",3,IF(AA208="Échéance proche",4,IF(AA208="À réévaluer",5,0)))))=0,"",IF(AA208="En retard",1,IF(AA208="Action à définir",2,IF(AA208="Échéance manquante",3,IF(AA208="Échéance proche",4,IF(AA208="À réévaluer",5,0)))))*100000000+IF(N(Q208)&gt;0,Q208,99999)*1000+ROW())</f>
        <v/>
      </c>
      <c r="AF208" s="59" t="str">
        <f>IF(X208&lt;&gt;"",X208,L208)</f>
        <v/>
      </c>
      <c r="AG208" s="59" t="str">
        <f>IF(X208&lt;&gt;"",Y208,IF(L208&lt;&gt;"",M208,""))</f>
        <v/>
      </c>
      <c r="AH208" s="59" t="str">
        <f>IF(L208="","",IF(X208&lt;&gt;"",U208,F208))</f>
        <v/>
      </c>
      <c r="AI208" s="59" t="str">
        <f>IF(L208="","",IF(X208&lt;&gt;"",V208,H208))</f>
        <v/>
      </c>
    </row>
    <row r="209" ht="30" customHeight="1">
      <c r="A209" s="50" t="n"/>
      <c r="B209" s="51" t="n"/>
      <c r="C209" s="51" t="n"/>
      <c r="D209" s="51" t="n"/>
      <c r="E209" s="51" t="n"/>
      <c r="F209" s="52" t="n"/>
      <c r="G209" s="51" t="n"/>
      <c r="H209" s="52" t="n"/>
      <c r="I209" s="51" t="n"/>
      <c r="J209" s="51" t="n"/>
      <c r="K209" s="52" t="n"/>
      <c r="L209" s="53" t="str">
        <f>IF(AND(IF(ISNUMBER(F209),AND(F209&gt;=1,F209&lt;=10,F209=INT(F209)),FALSE),IF(ISNUMBER(H209),AND(H209&gt;=1,H209&lt;=10,H209=INT(H209)),FALSE),IF(ISNUMBER(K209),AND(K209&gt;=1,K209&lt;=10,K209=INT(K209)),FALSE)),F209*H209*K209,"")</f>
        <v/>
      </c>
      <c r="M209" s="54" t="str">
        <f>IF(L209="",IF(D209="","","À coter"),IF(OR(F209&gt;=p_gmin,L209&gt;=p_ipr_crit),"Critique",IF(L209&gt;=p_ipr_act,"Élevée",IF(L209&gt;=p_ipr_watch,"Moyenne","Faible"))))</f>
        <v/>
      </c>
      <c r="N209" s="54" t="str">
        <f>IF(OR(M209="",M209="À coter"),"",IF(OR(M209="Critique",M209="Élevée"),"Oui","Non"))</f>
        <v/>
      </c>
      <c r="O209" s="51" t="n"/>
      <c r="P209" s="51" t="n"/>
      <c r="Q209" s="55" t="n"/>
      <c r="R209" s="50" t="n"/>
      <c r="S209" s="55" t="n"/>
      <c r="T209" s="56" t="n"/>
      <c r="U209" s="52" t="n"/>
      <c r="V209" s="52" t="n"/>
      <c r="W209" s="52" t="n"/>
      <c r="X209" s="53" t="str">
        <f>IF(AND(L209&lt;&gt;"",IF(ISNUMBER(U209),AND(U209&gt;=1,U209&lt;=10,U209=INT(U209)),FALSE),IF(ISNUMBER(V209),AND(V209&gt;=1,V209&lt;=10,V209=INT(V209)),FALSE),IF(ISNUMBER(W209),AND(W209&gt;=1,W209&lt;=10,W209=INT(W209)),FALSE)),U209*V209*W209,"")</f>
        <v/>
      </c>
      <c r="Y209" s="54" t="str">
        <f>IF(X209="","",IF(OR(U209&gt;=p_gmin,X209&gt;=p_ipr_crit),"Critique",IF(X209&gt;=p_ipr_act,"Élevée",IF(X209&gt;=p_ipr_watch,"Moyenne","Faible"))))</f>
        <v/>
      </c>
      <c r="Z209" s="57" t="str">
        <f>IF(X209="","",(L209-X209)/L209)</f>
        <v/>
      </c>
      <c r="AA209" s="54" t="str">
        <f>IF(AND(D209="",O209=""),"",IF(O209="",IF(N209="Oui","Action à définir",IF(N209="Non","Sans action","")),IF(R209="Annulée","Annulée",IF(R209="Réalisée",IF(X209="","À réévaluer","Réalisée"),IF(N(Q209)=0,"Échéance manquante",IF(Q209&lt;p_today,"En retard",IF(Q209-p_today&lt;=p_alert,"Échéance proche","Dans les délais")))))))</f>
        <v/>
      </c>
      <c r="AB209" s="58" t="str">
        <f>IF(AND(A209="",B209="",D209="",F209="",H209="",K209="",O209=""),"",IF(D209="","Mode de défaillance manquant",IF(AND(A209&lt;&gt;"",COUNTIF(am_num,A209)&gt;1),"N° en double",IF(F209="","Gravité G manquante",IF(NOT(IF(ISNUMBER(F209),AND(F209&gt;=1,F209&lt;=10,F209=INT(F209)),FALSE)),"G : entier de 1 à 10",IF(H209="","Occurrence O manquante",IF(NOT(IF(ISNUMBER(H209),AND(H209&gt;=1,H209&lt;=10,H209=INT(H209)),FALSE)),"O : entier de 1 à 10",IF(K209="","Détection D manquante",IF(NOT(IF(ISNUMBER(K209),AND(K209&gt;=1,K209&lt;=10,K209=INT(K209)),FALSE)),"D : entier de 1 à 10",IF(G209="","Cause manquante",IF(AND(O209&lt;&gt;"",P209=""),"Responsable manquant",IF(AND(R209&lt;&gt;"",O209=""),"Statut sans action",IF(AND(R209="Réalisée",N(S209)=0),"Date de réalisation manquante",IF(AND(T209&lt;&gt;"",IF(ISNUMBER(T209),T209&lt;0,TRUE)),"Coût invalide",IF(AND(COUNTBLANK(U209:W209)&gt;0,COUNTBLANK(U209:W209)&lt;3),"Cotation après action incomplète",IF(AND(COUNTBLANK(U209:W209)=0,X209=""),"G', O', D' : entiers de 1 à 10",IF(AND(X209&lt;&gt;"",X209&gt;L209),"IPR après action plus élevé","OK")))))))))))))))))</f>
        <v/>
      </c>
      <c r="AC209" s="59" t="str">
        <f>IF(OR(AA209="En retard",AA209="Échéance proche",AA209="Dans les délais",AA209="Échéance manquante",AA209="Action à définir",AA209="À réévaluer"),IF(OR(plan_who="",P209=plan_who),IF(N(Q209)&gt;0,Q209,99999)*1000+ROW(),""),"")</f>
        <v/>
      </c>
      <c r="AD209" s="59" t="str">
        <f>IF(L209="","",L209*1000+1000-ROW())</f>
        <v/>
      </c>
      <c r="AE209" s="59" t="str">
        <f>IF(IF(AA209="En retard",1,IF(AA209="Action à définir",2,IF(AA209="Échéance manquante",3,IF(AA209="Échéance proche",4,IF(AA209="À réévaluer",5,0)))))=0,"",IF(AA209="En retard",1,IF(AA209="Action à définir",2,IF(AA209="Échéance manquante",3,IF(AA209="Échéance proche",4,IF(AA209="À réévaluer",5,0)))))*100000000+IF(N(Q209)&gt;0,Q209,99999)*1000+ROW())</f>
        <v/>
      </c>
      <c r="AF209" s="59" t="str">
        <f>IF(X209&lt;&gt;"",X209,L209)</f>
        <v/>
      </c>
      <c r="AG209" s="59" t="str">
        <f>IF(X209&lt;&gt;"",Y209,IF(L209&lt;&gt;"",M209,""))</f>
        <v/>
      </c>
      <c r="AH209" s="59" t="str">
        <f>IF(L209="","",IF(X209&lt;&gt;"",U209,F209))</f>
        <v/>
      </c>
      <c r="AI209" s="59" t="str">
        <f>IF(L209="","",IF(X209&lt;&gt;"",V209,H209))</f>
        <v/>
      </c>
    </row>
    <row r="210" ht="30" customHeight="1">
      <c r="A210" s="50" t="n"/>
      <c r="B210" s="51" t="n"/>
      <c r="C210" s="51" t="n"/>
      <c r="D210" s="51" t="n"/>
      <c r="E210" s="51" t="n"/>
      <c r="F210" s="52" t="n"/>
      <c r="G210" s="51" t="n"/>
      <c r="H210" s="52" t="n"/>
      <c r="I210" s="51" t="n"/>
      <c r="J210" s="51" t="n"/>
      <c r="K210" s="52" t="n"/>
      <c r="L210" s="53" t="str">
        <f>IF(AND(IF(ISNUMBER(F210),AND(F210&gt;=1,F210&lt;=10,F210=INT(F210)),FALSE),IF(ISNUMBER(H210),AND(H210&gt;=1,H210&lt;=10,H210=INT(H210)),FALSE),IF(ISNUMBER(K210),AND(K210&gt;=1,K210&lt;=10,K210=INT(K210)),FALSE)),F210*H210*K210,"")</f>
        <v/>
      </c>
      <c r="M210" s="54" t="str">
        <f>IF(L210="",IF(D210="","","À coter"),IF(OR(F210&gt;=p_gmin,L210&gt;=p_ipr_crit),"Critique",IF(L210&gt;=p_ipr_act,"Élevée",IF(L210&gt;=p_ipr_watch,"Moyenne","Faible"))))</f>
        <v/>
      </c>
      <c r="N210" s="54" t="str">
        <f>IF(OR(M210="",M210="À coter"),"",IF(OR(M210="Critique",M210="Élevée"),"Oui","Non"))</f>
        <v/>
      </c>
      <c r="O210" s="51" t="n"/>
      <c r="P210" s="51" t="n"/>
      <c r="Q210" s="55" t="n"/>
      <c r="R210" s="50" t="n"/>
      <c r="S210" s="55" t="n"/>
      <c r="T210" s="56" t="n"/>
      <c r="U210" s="52" t="n"/>
      <c r="V210" s="52" t="n"/>
      <c r="W210" s="52" t="n"/>
      <c r="X210" s="53" t="str">
        <f>IF(AND(L210&lt;&gt;"",IF(ISNUMBER(U210),AND(U210&gt;=1,U210&lt;=10,U210=INT(U210)),FALSE),IF(ISNUMBER(V210),AND(V210&gt;=1,V210&lt;=10,V210=INT(V210)),FALSE),IF(ISNUMBER(W210),AND(W210&gt;=1,W210&lt;=10,W210=INT(W210)),FALSE)),U210*V210*W210,"")</f>
        <v/>
      </c>
      <c r="Y210" s="54" t="str">
        <f>IF(X210="","",IF(OR(U210&gt;=p_gmin,X210&gt;=p_ipr_crit),"Critique",IF(X210&gt;=p_ipr_act,"Élevée",IF(X210&gt;=p_ipr_watch,"Moyenne","Faible"))))</f>
        <v/>
      </c>
      <c r="Z210" s="57" t="str">
        <f>IF(X210="","",(L210-X210)/L210)</f>
        <v/>
      </c>
      <c r="AA210" s="54" t="str">
        <f>IF(AND(D210="",O210=""),"",IF(O210="",IF(N210="Oui","Action à définir",IF(N210="Non","Sans action","")),IF(R210="Annulée","Annulée",IF(R210="Réalisée",IF(X210="","À réévaluer","Réalisée"),IF(N(Q210)=0,"Échéance manquante",IF(Q210&lt;p_today,"En retard",IF(Q210-p_today&lt;=p_alert,"Échéance proche","Dans les délais")))))))</f>
        <v/>
      </c>
      <c r="AB210" s="58" t="str">
        <f>IF(AND(A210="",B210="",D210="",F210="",H210="",K210="",O210=""),"",IF(D210="","Mode de défaillance manquant",IF(AND(A210&lt;&gt;"",COUNTIF(am_num,A210)&gt;1),"N° en double",IF(F210="","Gravité G manquante",IF(NOT(IF(ISNUMBER(F210),AND(F210&gt;=1,F210&lt;=10,F210=INT(F210)),FALSE)),"G : entier de 1 à 10",IF(H210="","Occurrence O manquante",IF(NOT(IF(ISNUMBER(H210),AND(H210&gt;=1,H210&lt;=10,H210=INT(H210)),FALSE)),"O : entier de 1 à 10",IF(K210="","Détection D manquante",IF(NOT(IF(ISNUMBER(K210),AND(K210&gt;=1,K210&lt;=10,K210=INT(K210)),FALSE)),"D : entier de 1 à 10",IF(G210="","Cause manquante",IF(AND(O210&lt;&gt;"",P210=""),"Responsable manquant",IF(AND(R210&lt;&gt;"",O210=""),"Statut sans action",IF(AND(R210="Réalisée",N(S210)=0),"Date de réalisation manquante",IF(AND(T210&lt;&gt;"",IF(ISNUMBER(T210),T210&lt;0,TRUE)),"Coût invalide",IF(AND(COUNTBLANK(U210:W210)&gt;0,COUNTBLANK(U210:W210)&lt;3),"Cotation après action incomplète",IF(AND(COUNTBLANK(U210:W210)=0,X210=""),"G', O', D' : entiers de 1 à 10",IF(AND(X210&lt;&gt;"",X210&gt;L210),"IPR après action plus élevé","OK")))))))))))))))))</f>
        <v/>
      </c>
      <c r="AC210" s="59" t="str">
        <f>IF(OR(AA210="En retard",AA210="Échéance proche",AA210="Dans les délais",AA210="Échéance manquante",AA210="Action à définir",AA210="À réévaluer"),IF(OR(plan_who="",P210=plan_who),IF(N(Q210)&gt;0,Q210,99999)*1000+ROW(),""),"")</f>
        <v/>
      </c>
      <c r="AD210" s="59" t="str">
        <f>IF(L210="","",L210*1000+1000-ROW())</f>
        <v/>
      </c>
      <c r="AE210" s="59" t="str">
        <f>IF(IF(AA210="En retard",1,IF(AA210="Action à définir",2,IF(AA210="Échéance manquante",3,IF(AA210="Échéance proche",4,IF(AA210="À réévaluer",5,0)))))=0,"",IF(AA210="En retard",1,IF(AA210="Action à définir",2,IF(AA210="Échéance manquante",3,IF(AA210="Échéance proche",4,IF(AA210="À réévaluer",5,0)))))*100000000+IF(N(Q210)&gt;0,Q210,99999)*1000+ROW())</f>
        <v/>
      </c>
      <c r="AF210" s="59" t="str">
        <f>IF(X210&lt;&gt;"",X210,L210)</f>
        <v/>
      </c>
      <c r="AG210" s="59" t="str">
        <f>IF(X210&lt;&gt;"",Y210,IF(L210&lt;&gt;"",M210,""))</f>
        <v/>
      </c>
      <c r="AH210" s="59" t="str">
        <f>IF(L210="","",IF(X210&lt;&gt;"",U210,F210))</f>
        <v/>
      </c>
      <c r="AI210" s="59" t="str">
        <f>IF(L210="","",IF(X210&lt;&gt;"",V210,H210))</f>
        <v/>
      </c>
    </row>
    <row r="211" ht="30" customHeight="1">
      <c r="A211" s="50" t="n"/>
      <c r="B211" s="51" t="n"/>
      <c r="C211" s="51" t="n"/>
      <c r="D211" s="51" t="n"/>
      <c r="E211" s="51" t="n"/>
      <c r="F211" s="52" t="n"/>
      <c r="G211" s="51" t="n"/>
      <c r="H211" s="52" t="n"/>
      <c r="I211" s="51" t="n"/>
      <c r="J211" s="51" t="n"/>
      <c r="K211" s="52" t="n"/>
      <c r="L211" s="53" t="str">
        <f>IF(AND(IF(ISNUMBER(F211),AND(F211&gt;=1,F211&lt;=10,F211=INT(F211)),FALSE),IF(ISNUMBER(H211),AND(H211&gt;=1,H211&lt;=10,H211=INT(H211)),FALSE),IF(ISNUMBER(K211),AND(K211&gt;=1,K211&lt;=10,K211=INT(K211)),FALSE)),F211*H211*K211,"")</f>
        <v/>
      </c>
      <c r="M211" s="54" t="str">
        <f>IF(L211="",IF(D211="","","À coter"),IF(OR(F211&gt;=p_gmin,L211&gt;=p_ipr_crit),"Critique",IF(L211&gt;=p_ipr_act,"Élevée",IF(L211&gt;=p_ipr_watch,"Moyenne","Faible"))))</f>
        <v/>
      </c>
      <c r="N211" s="54" t="str">
        <f>IF(OR(M211="",M211="À coter"),"",IF(OR(M211="Critique",M211="Élevée"),"Oui","Non"))</f>
        <v/>
      </c>
      <c r="O211" s="51" t="n"/>
      <c r="P211" s="51" t="n"/>
      <c r="Q211" s="55" t="n"/>
      <c r="R211" s="50" t="n"/>
      <c r="S211" s="55" t="n"/>
      <c r="T211" s="56" t="n"/>
      <c r="U211" s="52" t="n"/>
      <c r="V211" s="52" t="n"/>
      <c r="W211" s="52" t="n"/>
      <c r="X211" s="53" t="str">
        <f>IF(AND(L211&lt;&gt;"",IF(ISNUMBER(U211),AND(U211&gt;=1,U211&lt;=10,U211=INT(U211)),FALSE),IF(ISNUMBER(V211),AND(V211&gt;=1,V211&lt;=10,V211=INT(V211)),FALSE),IF(ISNUMBER(W211),AND(W211&gt;=1,W211&lt;=10,W211=INT(W211)),FALSE)),U211*V211*W211,"")</f>
        <v/>
      </c>
      <c r="Y211" s="54" t="str">
        <f>IF(X211="","",IF(OR(U211&gt;=p_gmin,X211&gt;=p_ipr_crit),"Critique",IF(X211&gt;=p_ipr_act,"Élevée",IF(X211&gt;=p_ipr_watch,"Moyenne","Faible"))))</f>
        <v/>
      </c>
      <c r="Z211" s="57" t="str">
        <f>IF(X211="","",(L211-X211)/L211)</f>
        <v/>
      </c>
      <c r="AA211" s="54" t="str">
        <f>IF(AND(D211="",O211=""),"",IF(O211="",IF(N211="Oui","Action à définir",IF(N211="Non","Sans action","")),IF(R211="Annulée","Annulée",IF(R211="Réalisée",IF(X211="","À réévaluer","Réalisée"),IF(N(Q211)=0,"Échéance manquante",IF(Q211&lt;p_today,"En retard",IF(Q211-p_today&lt;=p_alert,"Échéance proche","Dans les délais")))))))</f>
        <v/>
      </c>
      <c r="AB211" s="58" t="str">
        <f>IF(AND(A211="",B211="",D211="",F211="",H211="",K211="",O211=""),"",IF(D211="","Mode de défaillance manquant",IF(AND(A211&lt;&gt;"",COUNTIF(am_num,A211)&gt;1),"N° en double",IF(F211="","Gravité G manquante",IF(NOT(IF(ISNUMBER(F211),AND(F211&gt;=1,F211&lt;=10,F211=INT(F211)),FALSE)),"G : entier de 1 à 10",IF(H211="","Occurrence O manquante",IF(NOT(IF(ISNUMBER(H211),AND(H211&gt;=1,H211&lt;=10,H211=INT(H211)),FALSE)),"O : entier de 1 à 10",IF(K211="","Détection D manquante",IF(NOT(IF(ISNUMBER(K211),AND(K211&gt;=1,K211&lt;=10,K211=INT(K211)),FALSE)),"D : entier de 1 à 10",IF(G211="","Cause manquante",IF(AND(O211&lt;&gt;"",P211=""),"Responsable manquant",IF(AND(R211&lt;&gt;"",O211=""),"Statut sans action",IF(AND(R211="Réalisée",N(S211)=0),"Date de réalisation manquante",IF(AND(T211&lt;&gt;"",IF(ISNUMBER(T211),T211&lt;0,TRUE)),"Coût invalide",IF(AND(COUNTBLANK(U211:W211)&gt;0,COUNTBLANK(U211:W211)&lt;3),"Cotation après action incomplète",IF(AND(COUNTBLANK(U211:W211)=0,X211=""),"G', O', D' : entiers de 1 à 10",IF(AND(X211&lt;&gt;"",X211&gt;L211),"IPR après action plus élevé","OK")))))))))))))))))</f>
        <v/>
      </c>
      <c r="AC211" s="59" t="str">
        <f>IF(OR(AA211="En retard",AA211="Échéance proche",AA211="Dans les délais",AA211="Échéance manquante",AA211="Action à définir",AA211="À réévaluer"),IF(OR(plan_who="",P211=plan_who),IF(N(Q211)&gt;0,Q211,99999)*1000+ROW(),""),"")</f>
        <v/>
      </c>
      <c r="AD211" s="59" t="str">
        <f>IF(L211="","",L211*1000+1000-ROW())</f>
        <v/>
      </c>
      <c r="AE211" s="59" t="str">
        <f>IF(IF(AA211="En retard",1,IF(AA211="Action à définir",2,IF(AA211="Échéance manquante",3,IF(AA211="Échéance proche",4,IF(AA211="À réévaluer",5,0)))))=0,"",IF(AA211="En retard",1,IF(AA211="Action à définir",2,IF(AA211="Échéance manquante",3,IF(AA211="Échéance proche",4,IF(AA211="À réévaluer",5,0)))))*100000000+IF(N(Q211)&gt;0,Q211,99999)*1000+ROW())</f>
        <v/>
      </c>
      <c r="AF211" s="59" t="str">
        <f>IF(X211&lt;&gt;"",X211,L211)</f>
        <v/>
      </c>
      <c r="AG211" s="59" t="str">
        <f>IF(X211&lt;&gt;"",Y211,IF(L211&lt;&gt;"",M211,""))</f>
        <v/>
      </c>
      <c r="AH211" s="59" t="str">
        <f>IF(L211="","",IF(X211&lt;&gt;"",U211,F211))</f>
        <v/>
      </c>
      <c r="AI211" s="59" t="str">
        <f>IF(L211="","",IF(X211&lt;&gt;"",V211,H211))</f>
        <v/>
      </c>
    </row>
    <row r="212" ht="30" customHeight="1">
      <c r="A212" s="50" t="n"/>
      <c r="B212" s="51" t="n"/>
      <c r="C212" s="51" t="n"/>
      <c r="D212" s="51" t="n"/>
      <c r="E212" s="51" t="n"/>
      <c r="F212" s="52" t="n"/>
      <c r="G212" s="51" t="n"/>
      <c r="H212" s="52" t="n"/>
      <c r="I212" s="51" t="n"/>
      <c r="J212" s="51" t="n"/>
      <c r="K212" s="52" t="n"/>
      <c r="L212" s="53" t="str">
        <f>IF(AND(IF(ISNUMBER(F212),AND(F212&gt;=1,F212&lt;=10,F212=INT(F212)),FALSE),IF(ISNUMBER(H212),AND(H212&gt;=1,H212&lt;=10,H212=INT(H212)),FALSE),IF(ISNUMBER(K212),AND(K212&gt;=1,K212&lt;=10,K212=INT(K212)),FALSE)),F212*H212*K212,"")</f>
        <v/>
      </c>
      <c r="M212" s="54" t="str">
        <f>IF(L212="",IF(D212="","","À coter"),IF(OR(F212&gt;=p_gmin,L212&gt;=p_ipr_crit),"Critique",IF(L212&gt;=p_ipr_act,"Élevée",IF(L212&gt;=p_ipr_watch,"Moyenne","Faible"))))</f>
        <v/>
      </c>
      <c r="N212" s="54" t="str">
        <f>IF(OR(M212="",M212="À coter"),"",IF(OR(M212="Critique",M212="Élevée"),"Oui","Non"))</f>
        <v/>
      </c>
      <c r="O212" s="51" t="n"/>
      <c r="P212" s="51" t="n"/>
      <c r="Q212" s="55" t="n"/>
      <c r="R212" s="50" t="n"/>
      <c r="S212" s="55" t="n"/>
      <c r="T212" s="56" t="n"/>
      <c r="U212" s="52" t="n"/>
      <c r="V212" s="52" t="n"/>
      <c r="W212" s="52" t="n"/>
      <c r="X212" s="53" t="str">
        <f>IF(AND(L212&lt;&gt;"",IF(ISNUMBER(U212),AND(U212&gt;=1,U212&lt;=10,U212=INT(U212)),FALSE),IF(ISNUMBER(V212),AND(V212&gt;=1,V212&lt;=10,V212=INT(V212)),FALSE),IF(ISNUMBER(W212),AND(W212&gt;=1,W212&lt;=10,W212=INT(W212)),FALSE)),U212*V212*W212,"")</f>
        <v/>
      </c>
      <c r="Y212" s="54" t="str">
        <f>IF(X212="","",IF(OR(U212&gt;=p_gmin,X212&gt;=p_ipr_crit),"Critique",IF(X212&gt;=p_ipr_act,"Élevée",IF(X212&gt;=p_ipr_watch,"Moyenne","Faible"))))</f>
        <v/>
      </c>
      <c r="Z212" s="57" t="str">
        <f>IF(X212="","",(L212-X212)/L212)</f>
        <v/>
      </c>
      <c r="AA212" s="54" t="str">
        <f>IF(AND(D212="",O212=""),"",IF(O212="",IF(N212="Oui","Action à définir",IF(N212="Non","Sans action","")),IF(R212="Annulée","Annulée",IF(R212="Réalisée",IF(X212="","À réévaluer","Réalisée"),IF(N(Q212)=0,"Échéance manquante",IF(Q212&lt;p_today,"En retard",IF(Q212-p_today&lt;=p_alert,"Échéance proche","Dans les délais")))))))</f>
        <v/>
      </c>
      <c r="AB212" s="58" t="str">
        <f>IF(AND(A212="",B212="",D212="",F212="",H212="",K212="",O212=""),"",IF(D212="","Mode de défaillance manquant",IF(AND(A212&lt;&gt;"",COUNTIF(am_num,A212)&gt;1),"N° en double",IF(F212="","Gravité G manquante",IF(NOT(IF(ISNUMBER(F212),AND(F212&gt;=1,F212&lt;=10,F212=INT(F212)),FALSE)),"G : entier de 1 à 10",IF(H212="","Occurrence O manquante",IF(NOT(IF(ISNUMBER(H212),AND(H212&gt;=1,H212&lt;=10,H212=INT(H212)),FALSE)),"O : entier de 1 à 10",IF(K212="","Détection D manquante",IF(NOT(IF(ISNUMBER(K212),AND(K212&gt;=1,K212&lt;=10,K212=INT(K212)),FALSE)),"D : entier de 1 à 10",IF(G212="","Cause manquante",IF(AND(O212&lt;&gt;"",P212=""),"Responsable manquant",IF(AND(R212&lt;&gt;"",O212=""),"Statut sans action",IF(AND(R212="Réalisée",N(S212)=0),"Date de réalisation manquante",IF(AND(T212&lt;&gt;"",IF(ISNUMBER(T212),T212&lt;0,TRUE)),"Coût invalide",IF(AND(COUNTBLANK(U212:W212)&gt;0,COUNTBLANK(U212:W212)&lt;3),"Cotation après action incomplète",IF(AND(COUNTBLANK(U212:W212)=0,X212=""),"G', O', D' : entiers de 1 à 10",IF(AND(X212&lt;&gt;"",X212&gt;L212),"IPR après action plus élevé","OK")))))))))))))))))</f>
        <v/>
      </c>
      <c r="AC212" s="59" t="str">
        <f>IF(OR(AA212="En retard",AA212="Échéance proche",AA212="Dans les délais",AA212="Échéance manquante",AA212="Action à définir",AA212="À réévaluer"),IF(OR(plan_who="",P212=plan_who),IF(N(Q212)&gt;0,Q212,99999)*1000+ROW(),""),"")</f>
        <v/>
      </c>
      <c r="AD212" s="59" t="str">
        <f>IF(L212="","",L212*1000+1000-ROW())</f>
        <v/>
      </c>
      <c r="AE212" s="59" t="str">
        <f>IF(IF(AA212="En retard",1,IF(AA212="Action à définir",2,IF(AA212="Échéance manquante",3,IF(AA212="Échéance proche",4,IF(AA212="À réévaluer",5,0)))))=0,"",IF(AA212="En retard",1,IF(AA212="Action à définir",2,IF(AA212="Échéance manquante",3,IF(AA212="Échéance proche",4,IF(AA212="À réévaluer",5,0)))))*100000000+IF(N(Q212)&gt;0,Q212,99999)*1000+ROW())</f>
        <v/>
      </c>
      <c r="AF212" s="59" t="str">
        <f>IF(X212&lt;&gt;"",X212,L212)</f>
        <v/>
      </c>
      <c r="AG212" s="59" t="str">
        <f>IF(X212&lt;&gt;"",Y212,IF(L212&lt;&gt;"",M212,""))</f>
        <v/>
      </c>
      <c r="AH212" s="59" t="str">
        <f>IF(L212="","",IF(X212&lt;&gt;"",U212,F212))</f>
        <v/>
      </c>
      <c r="AI212" s="59" t="str">
        <f>IF(L212="","",IF(X212&lt;&gt;"",V212,H212))</f>
        <v/>
      </c>
    </row>
    <row r="213" ht="30" customHeight="1">
      <c r="A213" s="50" t="n"/>
      <c r="B213" s="51" t="n"/>
      <c r="C213" s="51" t="n"/>
      <c r="D213" s="51" t="n"/>
      <c r="E213" s="51" t="n"/>
      <c r="F213" s="52" t="n"/>
      <c r="G213" s="51" t="n"/>
      <c r="H213" s="52" t="n"/>
      <c r="I213" s="51" t="n"/>
      <c r="J213" s="51" t="n"/>
      <c r="K213" s="52" t="n"/>
      <c r="L213" s="53" t="str">
        <f>IF(AND(IF(ISNUMBER(F213),AND(F213&gt;=1,F213&lt;=10,F213=INT(F213)),FALSE),IF(ISNUMBER(H213),AND(H213&gt;=1,H213&lt;=10,H213=INT(H213)),FALSE),IF(ISNUMBER(K213),AND(K213&gt;=1,K213&lt;=10,K213=INT(K213)),FALSE)),F213*H213*K213,"")</f>
        <v/>
      </c>
      <c r="M213" s="54" t="str">
        <f>IF(L213="",IF(D213="","","À coter"),IF(OR(F213&gt;=p_gmin,L213&gt;=p_ipr_crit),"Critique",IF(L213&gt;=p_ipr_act,"Élevée",IF(L213&gt;=p_ipr_watch,"Moyenne","Faible"))))</f>
        <v/>
      </c>
      <c r="N213" s="54" t="str">
        <f>IF(OR(M213="",M213="À coter"),"",IF(OR(M213="Critique",M213="Élevée"),"Oui","Non"))</f>
        <v/>
      </c>
      <c r="O213" s="51" t="n"/>
      <c r="P213" s="51" t="n"/>
      <c r="Q213" s="55" t="n"/>
      <c r="R213" s="50" t="n"/>
      <c r="S213" s="55" t="n"/>
      <c r="T213" s="56" t="n"/>
      <c r="U213" s="52" t="n"/>
      <c r="V213" s="52" t="n"/>
      <c r="W213" s="52" t="n"/>
      <c r="X213" s="53" t="str">
        <f>IF(AND(L213&lt;&gt;"",IF(ISNUMBER(U213),AND(U213&gt;=1,U213&lt;=10,U213=INT(U213)),FALSE),IF(ISNUMBER(V213),AND(V213&gt;=1,V213&lt;=10,V213=INT(V213)),FALSE),IF(ISNUMBER(W213),AND(W213&gt;=1,W213&lt;=10,W213=INT(W213)),FALSE)),U213*V213*W213,"")</f>
        <v/>
      </c>
      <c r="Y213" s="54" t="str">
        <f>IF(X213="","",IF(OR(U213&gt;=p_gmin,X213&gt;=p_ipr_crit),"Critique",IF(X213&gt;=p_ipr_act,"Élevée",IF(X213&gt;=p_ipr_watch,"Moyenne","Faible"))))</f>
        <v/>
      </c>
      <c r="Z213" s="57" t="str">
        <f>IF(X213="","",(L213-X213)/L213)</f>
        <v/>
      </c>
      <c r="AA213" s="54" t="str">
        <f>IF(AND(D213="",O213=""),"",IF(O213="",IF(N213="Oui","Action à définir",IF(N213="Non","Sans action","")),IF(R213="Annulée","Annulée",IF(R213="Réalisée",IF(X213="","À réévaluer","Réalisée"),IF(N(Q213)=0,"Échéance manquante",IF(Q213&lt;p_today,"En retard",IF(Q213-p_today&lt;=p_alert,"Échéance proche","Dans les délais")))))))</f>
        <v/>
      </c>
      <c r="AB213" s="58" t="str">
        <f>IF(AND(A213="",B213="",D213="",F213="",H213="",K213="",O213=""),"",IF(D213="","Mode de défaillance manquant",IF(AND(A213&lt;&gt;"",COUNTIF(am_num,A213)&gt;1),"N° en double",IF(F213="","Gravité G manquante",IF(NOT(IF(ISNUMBER(F213),AND(F213&gt;=1,F213&lt;=10,F213=INT(F213)),FALSE)),"G : entier de 1 à 10",IF(H213="","Occurrence O manquante",IF(NOT(IF(ISNUMBER(H213),AND(H213&gt;=1,H213&lt;=10,H213=INT(H213)),FALSE)),"O : entier de 1 à 10",IF(K213="","Détection D manquante",IF(NOT(IF(ISNUMBER(K213),AND(K213&gt;=1,K213&lt;=10,K213=INT(K213)),FALSE)),"D : entier de 1 à 10",IF(G213="","Cause manquante",IF(AND(O213&lt;&gt;"",P213=""),"Responsable manquant",IF(AND(R213&lt;&gt;"",O213=""),"Statut sans action",IF(AND(R213="Réalisée",N(S213)=0),"Date de réalisation manquante",IF(AND(T213&lt;&gt;"",IF(ISNUMBER(T213),T213&lt;0,TRUE)),"Coût invalide",IF(AND(COUNTBLANK(U213:W213)&gt;0,COUNTBLANK(U213:W213)&lt;3),"Cotation après action incomplète",IF(AND(COUNTBLANK(U213:W213)=0,X213=""),"G', O', D' : entiers de 1 à 10",IF(AND(X213&lt;&gt;"",X213&gt;L213),"IPR après action plus élevé","OK")))))))))))))))))</f>
        <v/>
      </c>
      <c r="AC213" s="59" t="str">
        <f>IF(OR(AA213="En retard",AA213="Échéance proche",AA213="Dans les délais",AA213="Échéance manquante",AA213="Action à définir",AA213="À réévaluer"),IF(OR(plan_who="",P213=plan_who),IF(N(Q213)&gt;0,Q213,99999)*1000+ROW(),""),"")</f>
        <v/>
      </c>
      <c r="AD213" s="59" t="str">
        <f>IF(L213="","",L213*1000+1000-ROW())</f>
        <v/>
      </c>
      <c r="AE213" s="59" t="str">
        <f>IF(IF(AA213="En retard",1,IF(AA213="Action à définir",2,IF(AA213="Échéance manquante",3,IF(AA213="Échéance proche",4,IF(AA213="À réévaluer",5,0)))))=0,"",IF(AA213="En retard",1,IF(AA213="Action à définir",2,IF(AA213="Échéance manquante",3,IF(AA213="Échéance proche",4,IF(AA213="À réévaluer",5,0)))))*100000000+IF(N(Q213)&gt;0,Q213,99999)*1000+ROW())</f>
        <v/>
      </c>
      <c r="AF213" s="59" t="str">
        <f>IF(X213&lt;&gt;"",X213,L213)</f>
        <v/>
      </c>
      <c r="AG213" s="59" t="str">
        <f>IF(X213&lt;&gt;"",Y213,IF(L213&lt;&gt;"",M213,""))</f>
        <v/>
      </c>
      <c r="AH213" s="59" t="str">
        <f>IF(L213="","",IF(X213&lt;&gt;"",U213,F213))</f>
        <v/>
      </c>
      <c r="AI213" s="59" t="str">
        <f>IF(L213="","",IF(X213&lt;&gt;"",V213,H213))</f>
        <v/>
      </c>
    </row>
    <row r="214" ht="30" customHeight="1">
      <c r="A214" s="50" t="n"/>
      <c r="B214" s="51" t="n"/>
      <c r="C214" s="51" t="n"/>
      <c r="D214" s="51" t="n"/>
      <c r="E214" s="51" t="n"/>
      <c r="F214" s="52" t="n"/>
      <c r="G214" s="51" t="n"/>
      <c r="H214" s="52" t="n"/>
      <c r="I214" s="51" t="n"/>
      <c r="J214" s="51" t="n"/>
      <c r="K214" s="52" t="n"/>
      <c r="L214" s="53" t="str">
        <f>IF(AND(IF(ISNUMBER(F214),AND(F214&gt;=1,F214&lt;=10,F214=INT(F214)),FALSE),IF(ISNUMBER(H214),AND(H214&gt;=1,H214&lt;=10,H214=INT(H214)),FALSE),IF(ISNUMBER(K214),AND(K214&gt;=1,K214&lt;=10,K214=INT(K214)),FALSE)),F214*H214*K214,"")</f>
        <v/>
      </c>
      <c r="M214" s="54" t="str">
        <f>IF(L214="",IF(D214="","","À coter"),IF(OR(F214&gt;=p_gmin,L214&gt;=p_ipr_crit),"Critique",IF(L214&gt;=p_ipr_act,"Élevée",IF(L214&gt;=p_ipr_watch,"Moyenne","Faible"))))</f>
        <v/>
      </c>
      <c r="N214" s="54" t="str">
        <f>IF(OR(M214="",M214="À coter"),"",IF(OR(M214="Critique",M214="Élevée"),"Oui","Non"))</f>
        <v/>
      </c>
      <c r="O214" s="51" t="n"/>
      <c r="P214" s="51" t="n"/>
      <c r="Q214" s="55" t="n"/>
      <c r="R214" s="50" t="n"/>
      <c r="S214" s="55" t="n"/>
      <c r="T214" s="56" t="n"/>
      <c r="U214" s="52" t="n"/>
      <c r="V214" s="52" t="n"/>
      <c r="W214" s="52" t="n"/>
      <c r="X214" s="53" t="str">
        <f>IF(AND(L214&lt;&gt;"",IF(ISNUMBER(U214),AND(U214&gt;=1,U214&lt;=10,U214=INT(U214)),FALSE),IF(ISNUMBER(V214),AND(V214&gt;=1,V214&lt;=10,V214=INT(V214)),FALSE),IF(ISNUMBER(W214),AND(W214&gt;=1,W214&lt;=10,W214=INT(W214)),FALSE)),U214*V214*W214,"")</f>
        <v/>
      </c>
      <c r="Y214" s="54" t="str">
        <f>IF(X214="","",IF(OR(U214&gt;=p_gmin,X214&gt;=p_ipr_crit),"Critique",IF(X214&gt;=p_ipr_act,"Élevée",IF(X214&gt;=p_ipr_watch,"Moyenne","Faible"))))</f>
        <v/>
      </c>
      <c r="Z214" s="57" t="str">
        <f>IF(X214="","",(L214-X214)/L214)</f>
        <v/>
      </c>
      <c r="AA214" s="54" t="str">
        <f>IF(AND(D214="",O214=""),"",IF(O214="",IF(N214="Oui","Action à définir",IF(N214="Non","Sans action","")),IF(R214="Annulée","Annulée",IF(R214="Réalisée",IF(X214="","À réévaluer","Réalisée"),IF(N(Q214)=0,"Échéance manquante",IF(Q214&lt;p_today,"En retard",IF(Q214-p_today&lt;=p_alert,"Échéance proche","Dans les délais")))))))</f>
        <v/>
      </c>
      <c r="AB214" s="58" t="str">
        <f>IF(AND(A214="",B214="",D214="",F214="",H214="",K214="",O214=""),"",IF(D214="","Mode de défaillance manquant",IF(AND(A214&lt;&gt;"",COUNTIF(am_num,A214)&gt;1),"N° en double",IF(F214="","Gravité G manquante",IF(NOT(IF(ISNUMBER(F214),AND(F214&gt;=1,F214&lt;=10,F214=INT(F214)),FALSE)),"G : entier de 1 à 10",IF(H214="","Occurrence O manquante",IF(NOT(IF(ISNUMBER(H214),AND(H214&gt;=1,H214&lt;=10,H214=INT(H214)),FALSE)),"O : entier de 1 à 10",IF(K214="","Détection D manquante",IF(NOT(IF(ISNUMBER(K214),AND(K214&gt;=1,K214&lt;=10,K214=INT(K214)),FALSE)),"D : entier de 1 à 10",IF(G214="","Cause manquante",IF(AND(O214&lt;&gt;"",P214=""),"Responsable manquant",IF(AND(R214&lt;&gt;"",O214=""),"Statut sans action",IF(AND(R214="Réalisée",N(S214)=0),"Date de réalisation manquante",IF(AND(T214&lt;&gt;"",IF(ISNUMBER(T214),T214&lt;0,TRUE)),"Coût invalide",IF(AND(COUNTBLANK(U214:W214)&gt;0,COUNTBLANK(U214:W214)&lt;3),"Cotation après action incomplète",IF(AND(COUNTBLANK(U214:W214)=0,X214=""),"G', O', D' : entiers de 1 à 10",IF(AND(X214&lt;&gt;"",X214&gt;L214),"IPR après action plus élevé","OK")))))))))))))))))</f>
        <v/>
      </c>
      <c r="AC214" s="59" t="str">
        <f>IF(OR(AA214="En retard",AA214="Échéance proche",AA214="Dans les délais",AA214="Échéance manquante",AA214="Action à définir",AA214="À réévaluer"),IF(OR(plan_who="",P214=plan_who),IF(N(Q214)&gt;0,Q214,99999)*1000+ROW(),""),"")</f>
        <v/>
      </c>
      <c r="AD214" s="59" t="str">
        <f>IF(L214="","",L214*1000+1000-ROW())</f>
        <v/>
      </c>
      <c r="AE214" s="59" t="str">
        <f>IF(IF(AA214="En retard",1,IF(AA214="Action à définir",2,IF(AA214="Échéance manquante",3,IF(AA214="Échéance proche",4,IF(AA214="À réévaluer",5,0)))))=0,"",IF(AA214="En retard",1,IF(AA214="Action à définir",2,IF(AA214="Échéance manquante",3,IF(AA214="Échéance proche",4,IF(AA214="À réévaluer",5,0)))))*100000000+IF(N(Q214)&gt;0,Q214,99999)*1000+ROW())</f>
        <v/>
      </c>
      <c r="AF214" s="59" t="str">
        <f>IF(X214&lt;&gt;"",X214,L214)</f>
        <v/>
      </c>
      <c r="AG214" s="59" t="str">
        <f>IF(X214&lt;&gt;"",Y214,IF(L214&lt;&gt;"",M214,""))</f>
        <v/>
      </c>
      <c r="AH214" s="59" t="str">
        <f>IF(L214="","",IF(X214&lt;&gt;"",U214,F214))</f>
        <v/>
      </c>
      <c r="AI214" s="59" t="str">
        <f>IF(L214="","",IF(X214&lt;&gt;"",V214,H214))</f>
        <v/>
      </c>
    </row>
    <row r="215" ht="30" customHeight="1">
      <c r="A215" s="50" t="n"/>
      <c r="B215" s="51" t="n"/>
      <c r="C215" s="51" t="n"/>
      <c r="D215" s="51" t="n"/>
      <c r="E215" s="51" t="n"/>
      <c r="F215" s="52" t="n"/>
      <c r="G215" s="51" t="n"/>
      <c r="H215" s="52" t="n"/>
      <c r="I215" s="51" t="n"/>
      <c r="J215" s="51" t="n"/>
      <c r="K215" s="52" t="n"/>
      <c r="L215" s="53" t="str">
        <f>IF(AND(IF(ISNUMBER(F215),AND(F215&gt;=1,F215&lt;=10,F215=INT(F215)),FALSE),IF(ISNUMBER(H215),AND(H215&gt;=1,H215&lt;=10,H215=INT(H215)),FALSE),IF(ISNUMBER(K215),AND(K215&gt;=1,K215&lt;=10,K215=INT(K215)),FALSE)),F215*H215*K215,"")</f>
        <v/>
      </c>
      <c r="M215" s="54" t="str">
        <f>IF(L215="",IF(D215="","","À coter"),IF(OR(F215&gt;=p_gmin,L215&gt;=p_ipr_crit),"Critique",IF(L215&gt;=p_ipr_act,"Élevée",IF(L215&gt;=p_ipr_watch,"Moyenne","Faible"))))</f>
        <v/>
      </c>
      <c r="N215" s="54" t="str">
        <f>IF(OR(M215="",M215="À coter"),"",IF(OR(M215="Critique",M215="Élevée"),"Oui","Non"))</f>
        <v/>
      </c>
      <c r="O215" s="51" t="n"/>
      <c r="P215" s="51" t="n"/>
      <c r="Q215" s="55" t="n"/>
      <c r="R215" s="50" t="n"/>
      <c r="S215" s="55" t="n"/>
      <c r="T215" s="56" t="n"/>
      <c r="U215" s="52" t="n"/>
      <c r="V215" s="52" t="n"/>
      <c r="W215" s="52" t="n"/>
      <c r="X215" s="53" t="str">
        <f>IF(AND(L215&lt;&gt;"",IF(ISNUMBER(U215),AND(U215&gt;=1,U215&lt;=10,U215=INT(U215)),FALSE),IF(ISNUMBER(V215),AND(V215&gt;=1,V215&lt;=10,V215=INT(V215)),FALSE),IF(ISNUMBER(W215),AND(W215&gt;=1,W215&lt;=10,W215=INT(W215)),FALSE)),U215*V215*W215,"")</f>
        <v/>
      </c>
      <c r="Y215" s="54" t="str">
        <f>IF(X215="","",IF(OR(U215&gt;=p_gmin,X215&gt;=p_ipr_crit),"Critique",IF(X215&gt;=p_ipr_act,"Élevée",IF(X215&gt;=p_ipr_watch,"Moyenne","Faible"))))</f>
        <v/>
      </c>
      <c r="Z215" s="57" t="str">
        <f>IF(X215="","",(L215-X215)/L215)</f>
        <v/>
      </c>
      <c r="AA215" s="54" t="str">
        <f>IF(AND(D215="",O215=""),"",IF(O215="",IF(N215="Oui","Action à définir",IF(N215="Non","Sans action","")),IF(R215="Annulée","Annulée",IF(R215="Réalisée",IF(X215="","À réévaluer","Réalisée"),IF(N(Q215)=0,"Échéance manquante",IF(Q215&lt;p_today,"En retard",IF(Q215-p_today&lt;=p_alert,"Échéance proche","Dans les délais")))))))</f>
        <v/>
      </c>
      <c r="AB215" s="58" t="str">
        <f>IF(AND(A215="",B215="",D215="",F215="",H215="",K215="",O215=""),"",IF(D215="","Mode de défaillance manquant",IF(AND(A215&lt;&gt;"",COUNTIF(am_num,A215)&gt;1),"N° en double",IF(F215="","Gravité G manquante",IF(NOT(IF(ISNUMBER(F215),AND(F215&gt;=1,F215&lt;=10,F215=INT(F215)),FALSE)),"G : entier de 1 à 10",IF(H215="","Occurrence O manquante",IF(NOT(IF(ISNUMBER(H215),AND(H215&gt;=1,H215&lt;=10,H215=INT(H215)),FALSE)),"O : entier de 1 à 10",IF(K215="","Détection D manquante",IF(NOT(IF(ISNUMBER(K215),AND(K215&gt;=1,K215&lt;=10,K215=INT(K215)),FALSE)),"D : entier de 1 à 10",IF(G215="","Cause manquante",IF(AND(O215&lt;&gt;"",P215=""),"Responsable manquant",IF(AND(R215&lt;&gt;"",O215=""),"Statut sans action",IF(AND(R215="Réalisée",N(S215)=0),"Date de réalisation manquante",IF(AND(T215&lt;&gt;"",IF(ISNUMBER(T215),T215&lt;0,TRUE)),"Coût invalide",IF(AND(COUNTBLANK(U215:W215)&gt;0,COUNTBLANK(U215:W215)&lt;3),"Cotation après action incomplète",IF(AND(COUNTBLANK(U215:W215)=0,X215=""),"G', O', D' : entiers de 1 à 10",IF(AND(X215&lt;&gt;"",X215&gt;L215),"IPR après action plus élevé","OK")))))))))))))))))</f>
        <v/>
      </c>
      <c r="AC215" s="59" t="str">
        <f>IF(OR(AA215="En retard",AA215="Échéance proche",AA215="Dans les délais",AA215="Échéance manquante",AA215="Action à définir",AA215="À réévaluer"),IF(OR(plan_who="",P215=plan_who),IF(N(Q215)&gt;0,Q215,99999)*1000+ROW(),""),"")</f>
        <v/>
      </c>
      <c r="AD215" s="59" t="str">
        <f>IF(L215="","",L215*1000+1000-ROW())</f>
        <v/>
      </c>
      <c r="AE215" s="59" t="str">
        <f>IF(IF(AA215="En retard",1,IF(AA215="Action à définir",2,IF(AA215="Échéance manquante",3,IF(AA215="Échéance proche",4,IF(AA215="À réévaluer",5,0)))))=0,"",IF(AA215="En retard",1,IF(AA215="Action à définir",2,IF(AA215="Échéance manquante",3,IF(AA215="Échéance proche",4,IF(AA215="À réévaluer",5,0)))))*100000000+IF(N(Q215)&gt;0,Q215,99999)*1000+ROW())</f>
        <v/>
      </c>
      <c r="AF215" s="59" t="str">
        <f>IF(X215&lt;&gt;"",X215,L215)</f>
        <v/>
      </c>
      <c r="AG215" s="59" t="str">
        <f>IF(X215&lt;&gt;"",Y215,IF(L215&lt;&gt;"",M215,""))</f>
        <v/>
      </c>
      <c r="AH215" s="59" t="str">
        <f>IF(L215="","",IF(X215&lt;&gt;"",U215,F215))</f>
        <v/>
      </c>
      <c r="AI215" s="59" t="str">
        <f>IF(L215="","",IF(X215&lt;&gt;"",V215,H215))</f>
        <v/>
      </c>
    </row>
    <row r="216" ht="30" customHeight="1">
      <c r="A216" s="50" t="n"/>
      <c r="B216" s="51" t="n"/>
      <c r="C216" s="51" t="n"/>
      <c r="D216" s="51" t="n"/>
      <c r="E216" s="51" t="n"/>
      <c r="F216" s="52" t="n"/>
      <c r="G216" s="51" t="n"/>
      <c r="H216" s="52" t="n"/>
      <c r="I216" s="51" t="n"/>
      <c r="J216" s="51" t="n"/>
      <c r="K216" s="52" t="n"/>
      <c r="L216" s="53" t="str">
        <f>IF(AND(IF(ISNUMBER(F216),AND(F216&gt;=1,F216&lt;=10,F216=INT(F216)),FALSE),IF(ISNUMBER(H216),AND(H216&gt;=1,H216&lt;=10,H216=INT(H216)),FALSE),IF(ISNUMBER(K216),AND(K216&gt;=1,K216&lt;=10,K216=INT(K216)),FALSE)),F216*H216*K216,"")</f>
        <v/>
      </c>
      <c r="M216" s="54" t="str">
        <f>IF(L216="",IF(D216="","","À coter"),IF(OR(F216&gt;=p_gmin,L216&gt;=p_ipr_crit),"Critique",IF(L216&gt;=p_ipr_act,"Élevée",IF(L216&gt;=p_ipr_watch,"Moyenne","Faible"))))</f>
        <v/>
      </c>
      <c r="N216" s="54" t="str">
        <f>IF(OR(M216="",M216="À coter"),"",IF(OR(M216="Critique",M216="Élevée"),"Oui","Non"))</f>
        <v/>
      </c>
      <c r="O216" s="51" t="n"/>
      <c r="P216" s="51" t="n"/>
      <c r="Q216" s="55" t="n"/>
      <c r="R216" s="50" t="n"/>
      <c r="S216" s="55" t="n"/>
      <c r="T216" s="56" t="n"/>
      <c r="U216" s="52" t="n"/>
      <c r="V216" s="52" t="n"/>
      <c r="W216" s="52" t="n"/>
      <c r="X216" s="53" t="str">
        <f>IF(AND(L216&lt;&gt;"",IF(ISNUMBER(U216),AND(U216&gt;=1,U216&lt;=10,U216=INT(U216)),FALSE),IF(ISNUMBER(V216),AND(V216&gt;=1,V216&lt;=10,V216=INT(V216)),FALSE),IF(ISNUMBER(W216),AND(W216&gt;=1,W216&lt;=10,W216=INT(W216)),FALSE)),U216*V216*W216,"")</f>
        <v/>
      </c>
      <c r="Y216" s="54" t="str">
        <f>IF(X216="","",IF(OR(U216&gt;=p_gmin,X216&gt;=p_ipr_crit),"Critique",IF(X216&gt;=p_ipr_act,"Élevée",IF(X216&gt;=p_ipr_watch,"Moyenne","Faible"))))</f>
        <v/>
      </c>
      <c r="Z216" s="57" t="str">
        <f>IF(X216="","",(L216-X216)/L216)</f>
        <v/>
      </c>
      <c r="AA216" s="54" t="str">
        <f>IF(AND(D216="",O216=""),"",IF(O216="",IF(N216="Oui","Action à définir",IF(N216="Non","Sans action","")),IF(R216="Annulée","Annulée",IF(R216="Réalisée",IF(X216="","À réévaluer","Réalisée"),IF(N(Q216)=0,"Échéance manquante",IF(Q216&lt;p_today,"En retard",IF(Q216-p_today&lt;=p_alert,"Échéance proche","Dans les délais")))))))</f>
        <v/>
      </c>
      <c r="AB216" s="58" t="str">
        <f>IF(AND(A216="",B216="",D216="",F216="",H216="",K216="",O216=""),"",IF(D216="","Mode de défaillance manquant",IF(AND(A216&lt;&gt;"",COUNTIF(am_num,A216)&gt;1),"N° en double",IF(F216="","Gravité G manquante",IF(NOT(IF(ISNUMBER(F216),AND(F216&gt;=1,F216&lt;=10,F216=INT(F216)),FALSE)),"G : entier de 1 à 10",IF(H216="","Occurrence O manquante",IF(NOT(IF(ISNUMBER(H216),AND(H216&gt;=1,H216&lt;=10,H216=INT(H216)),FALSE)),"O : entier de 1 à 10",IF(K216="","Détection D manquante",IF(NOT(IF(ISNUMBER(K216),AND(K216&gt;=1,K216&lt;=10,K216=INT(K216)),FALSE)),"D : entier de 1 à 10",IF(G216="","Cause manquante",IF(AND(O216&lt;&gt;"",P216=""),"Responsable manquant",IF(AND(R216&lt;&gt;"",O216=""),"Statut sans action",IF(AND(R216="Réalisée",N(S216)=0),"Date de réalisation manquante",IF(AND(T216&lt;&gt;"",IF(ISNUMBER(T216),T216&lt;0,TRUE)),"Coût invalide",IF(AND(COUNTBLANK(U216:W216)&gt;0,COUNTBLANK(U216:W216)&lt;3),"Cotation après action incomplète",IF(AND(COUNTBLANK(U216:W216)=0,X216=""),"G', O', D' : entiers de 1 à 10",IF(AND(X216&lt;&gt;"",X216&gt;L216),"IPR après action plus élevé","OK")))))))))))))))))</f>
        <v/>
      </c>
      <c r="AC216" s="59" t="str">
        <f>IF(OR(AA216="En retard",AA216="Échéance proche",AA216="Dans les délais",AA216="Échéance manquante",AA216="Action à définir",AA216="À réévaluer"),IF(OR(plan_who="",P216=plan_who),IF(N(Q216)&gt;0,Q216,99999)*1000+ROW(),""),"")</f>
        <v/>
      </c>
      <c r="AD216" s="59" t="str">
        <f>IF(L216="","",L216*1000+1000-ROW())</f>
        <v/>
      </c>
      <c r="AE216" s="59" t="str">
        <f>IF(IF(AA216="En retard",1,IF(AA216="Action à définir",2,IF(AA216="Échéance manquante",3,IF(AA216="Échéance proche",4,IF(AA216="À réévaluer",5,0)))))=0,"",IF(AA216="En retard",1,IF(AA216="Action à définir",2,IF(AA216="Échéance manquante",3,IF(AA216="Échéance proche",4,IF(AA216="À réévaluer",5,0)))))*100000000+IF(N(Q216)&gt;0,Q216,99999)*1000+ROW())</f>
        <v/>
      </c>
      <c r="AF216" s="59" t="str">
        <f>IF(X216&lt;&gt;"",X216,L216)</f>
        <v/>
      </c>
      <c r="AG216" s="59" t="str">
        <f>IF(X216&lt;&gt;"",Y216,IF(L216&lt;&gt;"",M216,""))</f>
        <v/>
      </c>
      <c r="AH216" s="59" t="str">
        <f>IF(L216="","",IF(X216&lt;&gt;"",U216,F216))</f>
        <v/>
      </c>
      <c r="AI216" s="59" t="str">
        <f>IF(L216="","",IF(X216&lt;&gt;"",V216,H216))</f>
        <v/>
      </c>
    </row>
    <row r="217" ht="30" customHeight="1">
      <c r="A217" s="50" t="n"/>
      <c r="B217" s="51" t="n"/>
      <c r="C217" s="51" t="n"/>
      <c r="D217" s="51" t="n"/>
      <c r="E217" s="51" t="n"/>
      <c r="F217" s="52" t="n"/>
      <c r="G217" s="51" t="n"/>
      <c r="H217" s="52" t="n"/>
      <c r="I217" s="51" t="n"/>
      <c r="J217" s="51" t="n"/>
      <c r="K217" s="52" t="n"/>
      <c r="L217" s="53" t="str">
        <f>IF(AND(IF(ISNUMBER(F217),AND(F217&gt;=1,F217&lt;=10,F217=INT(F217)),FALSE),IF(ISNUMBER(H217),AND(H217&gt;=1,H217&lt;=10,H217=INT(H217)),FALSE),IF(ISNUMBER(K217),AND(K217&gt;=1,K217&lt;=10,K217=INT(K217)),FALSE)),F217*H217*K217,"")</f>
        <v/>
      </c>
      <c r="M217" s="54" t="str">
        <f>IF(L217="",IF(D217="","","À coter"),IF(OR(F217&gt;=p_gmin,L217&gt;=p_ipr_crit),"Critique",IF(L217&gt;=p_ipr_act,"Élevée",IF(L217&gt;=p_ipr_watch,"Moyenne","Faible"))))</f>
        <v/>
      </c>
      <c r="N217" s="54" t="str">
        <f>IF(OR(M217="",M217="À coter"),"",IF(OR(M217="Critique",M217="Élevée"),"Oui","Non"))</f>
        <v/>
      </c>
      <c r="O217" s="51" t="n"/>
      <c r="P217" s="51" t="n"/>
      <c r="Q217" s="55" t="n"/>
      <c r="R217" s="50" t="n"/>
      <c r="S217" s="55" t="n"/>
      <c r="T217" s="56" t="n"/>
      <c r="U217" s="52" t="n"/>
      <c r="V217" s="52" t="n"/>
      <c r="W217" s="52" t="n"/>
      <c r="X217" s="53" t="str">
        <f>IF(AND(L217&lt;&gt;"",IF(ISNUMBER(U217),AND(U217&gt;=1,U217&lt;=10,U217=INT(U217)),FALSE),IF(ISNUMBER(V217),AND(V217&gt;=1,V217&lt;=10,V217=INT(V217)),FALSE),IF(ISNUMBER(W217),AND(W217&gt;=1,W217&lt;=10,W217=INT(W217)),FALSE)),U217*V217*W217,"")</f>
        <v/>
      </c>
      <c r="Y217" s="54" t="str">
        <f>IF(X217="","",IF(OR(U217&gt;=p_gmin,X217&gt;=p_ipr_crit),"Critique",IF(X217&gt;=p_ipr_act,"Élevée",IF(X217&gt;=p_ipr_watch,"Moyenne","Faible"))))</f>
        <v/>
      </c>
      <c r="Z217" s="57" t="str">
        <f>IF(X217="","",(L217-X217)/L217)</f>
        <v/>
      </c>
      <c r="AA217" s="54" t="str">
        <f>IF(AND(D217="",O217=""),"",IF(O217="",IF(N217="Oui","Action à définir",IF(N217="Non","Sans action","")),IF(R217="Annulée","Annulée",IF(R217="Réalisée",IF(X217="","À réévaluer","Réalisée"),IF(N(Q217)=0,"Échéance manquante",IF(Q217&lt;p_today,"En retard",IF(Q217-p_today&lt;=p_alert,"Échéance proche","Dans les délais")))))))</f>
        <v/>
      </c>
      <c r="AB217" s="58" t="str">
        <f>IF(AND(A217="",B217="",D217="",F217="",H217="",K217="",O217=""),"",IF(D217="","Mode de défaillance manquant",IF(AND(A217&lt;&gt;"",COUNTIF(am_num,A217)&gt;1),"N° en double",IF(F217="","Gravité G manquante",IF(NOT(IF(ISNUMBER(F217),AND(F217&gt;=1,F217&lt;=10,F217=INT(F217)),FALSE)),"G : entier de 1 à 10",IF(H217="","Occurrence O manquante",IF(NOT(IF(ISNUMBER(H217),AND(H217&gt;=1,H217&lt;=10,H217=INT(H217)),FALSE)),"O : entier de 1 à 10",IF(K217="","Détection D manquante",IF(NOT(IF(ISNUMBER(K217),AND(K217&gt;=1,K217&lt;=10,K217=INT(K217)),FALSE)),"D : entier de 1 à 10",IF(G217="","Cause manquante",IF(AND(O217&lt;&gt;"",P217=""),"Responsable manquant",IF(AND(R217&lt;&gt;"",O217=""),"Statut sans action",IF(AND(R217="Réalisée",N(S217)=0),"Date de réalisation manquante",IF(AND(T217&lt;&gt;"",IF(ISNUMBER(T217),T217&lt;0,TRUE)),"Coût invalide",IF(AND(COUNTBLANK(U217:W217)&gt;0,COUNTBLANK(U217:W217)&lt;3),"Cotation après action incomplète",IF(AND(COUNTBLANK(U217:W217)=0,X217=""),"G', O', D' : entiers de 1 à 10",IF(AND(X217&lt;&gt;"",X217&gt;L217),"IPR après action plus élevé","OK")))))))))))))))))</f>
        <v/>
      </c>
      <c r="AC217" s="59" t="str">
        <f>IF(OR(AA217="En retard",AA217="Échéance proche",AA217="Dans les délais",AA217="Échéance manquante",AA217="Action à définir",AA217="À réévaluer"),IF(OR(plan_who="",P217=plan_who),IF(N(Q217)&gt;0,Q217,99999)*1000+ROW(),""),"")</f>
        <v/>
      </c>
      <c r="AD217" s="59" t="str">
        <f>IF(L217="","",L217*1000+1000-ROW())</f>
        <v/>
      </c>
      <c r="AE217" s="59" t="str">
        <f>IF(IF(AA217="En retard",1,IF(AA217="Action à définir",2,IF(AA217="Échéance manquante",3,IF(AA217="Échéance proche",4,IF(AA217="À réévaluer",5,0)))))=0,"",IF(AA217="En retard",1,IF(AA217="Action à définir",2,IF(AA217="Échéance manquante",3,IF(AA217="Échéance proche",4,IF(AA217="À réévaluer",5,0)))))*100000000+IF(N(Q217)&gt;0,Q217,99999)*1000+ROW())</f>
        <v/>
      </c>
      <c r="AF217" s="59" t="str">
        <f>IF(X217&lt;&gt;"",X217,L217)</f>
        <v/>
      </c>
      <c r="AG217" s="59" t="str">
        <f>IF(X217&lt;&gt;"",Y217,IF(L217&lt;&gt;"",M217,""))</f>
        <v/>
      </c>
      <c r="AH217" s="59" t="str">
        <f>IF(L217="","",IF(X217&lt;&gt;"",U217,F217))</f>
        <v/>
      </c>
      <c r="AI217" s="59" t="str">
        <f>IF(L217="","",IF(X217&lt;&gt;"",V217,H217))</f>
        <v/>
      </c>
    </row>
    <row r="218" ht="30" customHeight="1">
      <c r="A218" s="50" t="n"/>
      <c r="B218" s="51" t="n"/>
      <c r="C218" s="51" t="n"/>
      <c r="D218" s="51" t="n"/>
      <c r="E218" s="51" t="n"/>
      <c r="F218" s="52" t="n"/>
      <c r="G218" s="51" t="n"/>
      <c r="H218" s="52" t="n"/>
      <c r="I218" s="51" t="n"/>
      <c r="J218" s="51" t="n"/>
      <c r="K218" s="52" t="n"/>
      <c r="L218" s="53" t="str">
        <f>IF(AND(IF(ISNUMBER(F218),AND(F218&gt;=1,F218&lt;=10,F218=INT(F218)),FALSE),IF(ISNUMBER(H218),AND(H218&gt;=1,H218&lt;=10,H218=INT(H218)),FALSE),IF(ISNUMBER(K218),AND(K218&gt;=1,K218&lt;=10,K218=INT(K218)),FALSE)),F218*H218*K218,"")</f>
        <v/>
      </c>
      <c r="M218" s="54" t="str">
        <f>IF(L218="",IF(D218="","","À coter"),IF(OR(F218&gt;=p_gmin,L218&gt;=p_ipr_crit),"Critique",IF(L218&gt;=p_ipr_act,"Élevée",IF(L218&gt;=p_ipr_watch,"Moyenne","Faible"))))</f>
        <v/>
      </c>
      <c r="N218" s="54" t="str">
        <f>IF(OR(M218="",M218="À coter"),"",IF(OR(M218="Critique",M218="Élevée"),"Oui","Non"))</f>
        <v/>
      </c>
      <c r="O218" s="51" t="n"/>
      <c r="P218" s="51" t="n"/>
      <c r="Q218" s="55" t="n"/>
      <c r="R218" s="50" t="n"/>
      <c r="S218" s="55" t="n"/>
      <c r="T218" s="56" t="n"/>
      <c r="U218" s="52" t="n"/>
      <c r="V218" s="52" t="n"/>
      <c r="W218" s="52" t="n"/>
      <c r="X218" s="53" t="str">
        <f>IF(AND(L218&lt;&gt;"",IF(ISNUMBER(U218),AND(U218&gt;=1,U218&lt;=10,U218=INT(U218)),FALSE),IF(ISNUMBER(V218),AND(V218&gt;=1,V218&lt;=10,V218=INT(V218)),FALSE),IF(ISNUMBER(W218),AND(W218&gt;=1,W218&lt;=10,W218=INT(W218)),FALSE)),U218*V218*W218,"")</f>
        <v/>
      </c>
      <c r="Y218" s="54" t="str">
        <f>IF(X218="","",IF(OR(U218&gt;=p_gmin,X218&gt;=p_ipr_crit),"Critique",IF(X218&gt;=p_ipr_act,"Élevée",IF(X218&gt;=p_ipr_watch,"Moyenne","Faible"))))</f>
        <v/>
      </c>
      <c r="Z218" s="57" t="str">
        <f>IF(X218="","",(L218-X218)/L218)</f>
        <v/>
      </c>
      <c r="AA218" s="54" t="str">
        <f>IF(AND(D218="",O218=""),"",IF(O218="",IF(N218="Oui","Action à définir",IF(N218="Non","Sans action","")),IF(R218="Annulée","Annulée",IF(R218="Réalisée",IF(X218="","À réévaluer","Réalisée"),IF(N(Q218)=0,"Échéance manquante",IF(Q218&lt;p_today,"En retard",IF(Q218-p_today&lt;=p_alert,"Échéance proche","Dans les délais")))))))</f>
        <v/>
      </c>
      <c r="AB218" s="58" t="str">
        <f>IF(AND(A218="",B218="",D218="",F218="",H218="",K218="",O218=""),"",IF(D218="","Mode de défaillance manquant",IF(AND(A218&lt;&gt;"",COUNTIF(am_num,A218)&gt;1),"N° en double",IF(F218="","Gravité G manquante",IF(NOT(IF(ISNUMBER(F218),AND(F218&gt;=1,F218&lt;=10,F218=INT(F218)),FALSE)),"G : entier de 1 à 10",IF(H218="","Occurrence O manquante",IF(NOT(IF(ISNUMBER(H218),AND(H218&gt;=1,H218&lt;=10,H218=INT(H218)),FALSE)),"O : entier de 1 à 10",IF(K218="","Détection D manquante",IF(NOT(IF(ISNUMBER(K218),AND(K218&gt;=1,K218&lt;=10,K218=INT(K218)),FALSE)),"D : entier de 1 à 10",IF(G218="","Cause manquante",IF(AND(O218&lt;&gt;"",P218=""),"Responsable manquant",IF(AND(R218&lt;&gt;"",O218=""),"Statut sans action",IF(AND(R218="Réalisée",N(S218)=0),"Date de réalisation manquante",IF(AND(T218&lt;&gt;"",IF(ISNUMBER(T218),T218&lt;0,TRUE)),"Coût invalide",IF(AND(COUNTBLANK(U218:W218)&gt;0,COUNTBLANK(U218:W218)&lt;3),"Cotation après action incomplète",IF(AND(COUNTBLANK(U218:W218)=0,X218=""),"G', O', D' : entiers de 1 à 10",IF(AND(X218&lt;&gt;"",X218&gt;L218),"IPR après action plus élevé","OK")))))))))))))))))</f>
        <v/>
      </c>
      <c r="AC218" s="59" t="str">
        <f>IF(OR(AA218="En retard",AA218="Échéance proche",AA218="Dans les délais",AA218="Échéance manquante",AA218="Action à définir",AA218="À réévaluer"),IF(OR(plan_who="",P218=plan_who),IF(N(Q218)&gt;0,Q218,99999)*1000+ROW(),""),"")</f>
        <v/>
      </c>
      <c r="AD218" s="59" t="str">
        <f>IF(L218="","",L218*1000+1000-ROW())</f>
        <v/>
      </c>
      <c r="AE218" s="59" t="str">
        <f>IF(IF(AA218="En retard",1,IF(AA218="Action à définir",2,IF(AA218="Échéance manquante",3,IF(AA218="Échéance proche",4,IF(AA218="À réévaluer",5,0)))))=0,"",IF(AA218="En retard",1,IF(AA218="Action à définir",2,IF(AA218="Échéance manquante",3,IF(AA218="Échéance proche",4,IF(AA218="À réévaluer",5,0)))))*100000000+IF(N(Q218)&gt;0,Q218,99999)*1000+ROW())</f>
        <v/>
      </c>
      <c r="AF218" s="59" t="str">
        <f>IF(X218&lt;&gt;"",X218,L218)</f>
        <v/>
      </c>
      <c r="AG218" s="59" t="str">
        <f>IF(X218&lt;&gt;"",Y218,IF(L218&lt;&gt;"",M218,""))</f>
        <v/>
      </c>
      <c r="AH218" s="59" t="str">
        <f>IF(L218="","",IF(X218&lt;&gt;"",U218,F218))</f>
        <v/>
      </c>
      <c r="AI218" s="59" t="str">
        <f>IF(L218="","",IF(X218&lt;&gt;"",V218,H218))</f>
        <v/>
      </c>
    </row>
    <row r="219" ht="30" customHeight="1">
      <c r="A219" s="50" t="n"/>
      <c r="B219" s="51" t="n"/>
      <c r="C219" s="51" t="n"/>
      <c r="D219" s="51" t="n"/>
      <c r="E219" s="51" t="n"/>
      <c r="F219" s="52" t="n"/>
      <c r="G219" s="51" t="n"/>
      <c r="H219" s="52" t="n"/>
      <c r="I219" s="51" t="n"/>
      <c r="J219" s="51" t="n"/>
      <c r="K219" s="52" t="n"/>
      <c r="L219" s="53" t="str">
        <f>IF(AND(IF(ISNUMBER(F219),AND(F219&gt;=1,F219&lt;=10,F219=INT(F219)),FALSE),IF(ISNUMBER(H219),AND(H219&gt;=1,H219&lt;=10,H219=INT(H219)),FALSE),IF(ISNUMBER(K219),AND(K219&gt;=1,K219&lt;=10,K219=INT(K219)),FALSE)),F219*H219*K219,"")</f>
        <v/>
      </c>
      <c r="M219" s="54" t="str">
        <f>IF(L219="",IF(D219="","","À coter"),IF(OR(F219&gt;=p_gmin,L219&gt;=p_ipr_crit),"Critique",IF(L219&gt;=p_ipr_act,"Élevée",IF(L219&gt;=p_ipr_watch,"Moyenne","Faible"))))</f>
        <v/>
      </c>
      <c r="N219" s="54" t="str">
        <f>IF(OR(M219="",M219="À coter"),"",IF(OR(M219="Critique",M219="Élevée"),"Oui","Non"))</f>
        <v/>
      </c>
      <c r="O219" s="51" t="n"/>
      <c r="P219" s="51" t="n"/>
      <c r="Q219" s="55" t="n"/>
      <c r="R219" s="50" t="n"/>
      <c r="S219" s="55" t="n"/>
      <c r="T219" s="56" t="n"/>
      <c r="U219" s="52" t="n"/>
      <c r="V219" s="52" t="n"/>
      <c r="W219" s="52" t="n"/>
      <c r="X219" s="53" t="str">
        <f>IF(AND(L219&lt;&gt;"",IF(ISNUMBER(U219),AND(U219&gt;=1,U219&lt;=10,U219=INT(U219)),FALSE),IF(ISNUMBER(V219),AND(V219&gt;=1,V219&lt;=10,V219=INT(V219)),FALSE),IF(ISNUMBER(W219),AND(W219&gt;=1,W219&lt;=10,W219=INT(W219)),FALSE)),U219*V219*W219,"")</f>
        <v/>
      </c>
      <c r="Y219" s="54" t="str">
        <f>IF(X219="","",IF(OR(U219&gt;=p_gmin,X219&gt;=p_ipr_crit),"Critique",IF(X219&gt;=p_ipr_act,"Élevée",IF(X219&gt;=p_ipr_watch,"Moyenne","Faible"))))</f>
        <v/>
      </c>
      <c r="Z219" s="57" t="str">
        <f>IF(X219="","",(L219-X219)/L219)</f>
        <v/>
      </c>
      <c r="AA219" s="54" t="str">
        <f>IF(AND(D219="",O219=""),"",IF(O219="",IF(N219="Oui","Action à définir",IF(N219="Non","Sans action","")),IF(R219="Annulée","Annulée",IF(R219="Réalisée",IF(X219="","À réévaluer","Réalisée"),IF(N(Q219)=0,"Échéance manquante",IF(Q219&lt;p_today,"En retard",IF(Q219-p_today&lt;=p_alert,"Échéance proche","Dans les délais")))))))</f>
        <v/>
      </c>
      <c r="AB219" s="58" t="str">
        <f>IF(AND(A219="",B219="",D219="",F219="",H219="",K219="",O219=""),"",IF(D219="","Mode de défaillance manquant",IF(AND(A219&lt;&gt;"",COUNTIF(am_num,A219)&gt;1),"N° en double",IF(F219="","Gravité G manquante",IF(NOT(IF(ISNUMBER(F219),AND(F219&gt;=1,F219&lt;=10,F219=INT(F219)),FALSE)),"G : entier de 1 à 10",IF(H219="","Occurrence O manquante",IF(NOT(IF(ISNUMBER(H219),AND(H219&gt;=1,H219&lt;=10,H219=INT(H219)),FALSE)),"O : entier de 1 à 10",IF(K219="","Détection D manquante",IF(NOT(IF(ISNUMBER(K219),AND(K219&gt;=1,K219&lt;=10,K219=INT(K219)),FALSE)),"D : entier de 1 à 10",IF(G219="","Cause manquante",IF(AND(O219&lt;&gt;"",P219=""),"Responsable manquant",IF(AND(R219&lt;&gt;"",O219=""),"Statut sans action",IF(AND(R219="Réalisée",N(S219)=0),"Date de réalisation manquante",IF(AND(T219&lt;&gt;"",IF(ISNUMBER(T219),T219&lt;0,TRUE)),"Coût invalide",IF(AND(COUNTBLANK(U219:W219)&gt;0,COUNTBLANK(U219:W219)&lt;3),"Cotation après action incomplète",IF(AND(COUNTBLANK(U219:W219)=0,X219=""),"G', O', D' : entiers de 1 à 10",IF(AND(X219&lt;&gt;"",X219&gt;L219),"IPR après action plus élevé","OK")))))))))))))))))</f>
        <v/>
      </c>
      <c r="AC219" s="59" t="str">
        <f>IF(OR(AA219="En retard",AA219="Échéance proche",AA219="Dans les délais",AA219="Échéance manquante",AA219="Action à définir",AA219="À réévaluer"),IF(OR(plan_who="",P219=plan_who),IF(N(Q219)&gt;0,Q219,99999)*1000+ROW(),""),"")</f>
        <v/>
      </c>
      <c r="AD219" s="59" t="str">
        <f>IF(L219="","",L219*1000+1000-ROW())</f>
        <v/>
      </c>
      <c r="AE219" s="59" t="str">
        <f>IF(IF(AA219="En retard",1,IF(AA219="Action à définir",2,IF(AA219="Échéance manquante",3,IF(AA219="Échéance proche",4,IF(AA219="À réévaluer",5,0)))))=0,"",IF(AA219="En retard",1,IF(AA219="Action à définir",2,IF(AA219="Échéance manquante",3,IF(AA219="Échéance proche",4,IF(AA219="À réévaluer",5,0)))))*100000000+IF(N(Q219)&gt;0,Q219,99999)*1000+ROW())</f>
        <v/>
      </c>
      <c r="AF219" s="59" t="str">
        <f>IF(X219&lt;&gt;"",X219,L219)</f>
        <v/>
      </c>
      <c r="AG219" s="59" t="str">
        <f>IF(X219&lt;&gt;"",Y219,IF(L219&lt;&gt;"",M219,""))</f>
        <v/>
      </c>
      <c r="AH219" s="59" t="str">
        <f>IF(L219="","",IF(X219&lt;&gt;"",U219,F219))</f>
        <v/>
      </c>
      <c r="AI219" s="59" t="str">
        <f>IF(L219="","",IF(X219&lt;&gt;"",V219,H219))</f>
        <v/>
      </c>
    </row>
    <row r="220" ht="30" customHeight="1">
      <c r="A220" s="50" t="n"/>
      <c r="B220" s="51" t="n"/>
      <c r="C220" s="51" t="n"/>
      <c r="D220" s="51" t="n"/>
      <c r="E220" s="51" t="n"/>
      <c r="F220" s="52" t="n"/>
      <c r="G220" s="51" t="n"/>
      <c r="H220" s="52" t="n"/>
      <c r="I220" s="51" t="n"/>
      <c r="J220" s="51" t="n"/>
      <c r="K220" s="52" t="n"/>
      <c r="L220" s="53" t="str">
        <f>IF(AND(IF(ISNUMBER(F220),AND(F220&gt;=1,F220&lt;=10,F220=INT(F220)),FALSE),IF(ISNUMBER(H220),AND(H220&gt;=1,H220&lt;=10,H220=INT(H220)),FALSE),IF(ISNUMBER(K220),AND(K220&gt;=1,K220&lt;=10,K220=INT(K220)),FALSE)),F220*H220*K220,"")</f>
        <v/>
      </c>
      <c r="M220" s="54" t="str">
        <f>IF(L220="",IF(D220="","","À coter"),IF(OR(F220&gt;=p_gmin,L220&gt;=p_ipr_crit),"Critique",IF(L220&gt;=p_ipr_act,"Élevée",IF(L220&gt;=p_ipr_watch,"Moyenne","Faible"))))</f>
        <v/>
      </c>
      <c r="N220" s="54" t="str">
        <f>IF(OR(M220="",M220="À coter"),"",IF(OR(M220="Critique",M220="Élevée"),"Oui","Non"))</f>
        <v/>
      </c>
      <c r="O220" s="51" t="n"/>
      <c r="P220" s="51" t="n"/>
      <c r="Q220" s="55" t="n"/>
      <c r="R220" s="50" t="n"/>
      <c r="S220" s="55" t="n"/>
      <c r="T220" s="56" t="n"/>
      <c r="U220" s="52" t="n"/>
      <c r="V220" s="52" t="n"/>
      <c r="W220" s="52" t="n"/>
      <c r="X220" s="53" t="str">
        <f>IF(AND(L220&lt;&gt;"",IF(ISNUMBER(U220),AND(U220&gt;=1,U220&lt;=10,U220=INT(U220)),FALSE),IF(ISNUMBER(V220),AND(V220&gt;=1,V220&lt;=10,V220=INT(V220)),FALSE),IF(ISNUMBER(W220),AND(W220&gt;=1,W220&lt;=10,W220=INT(W220)),FALSE)),U220*V220*W220,"")</f>
        <v/>
      </c>
      <c r="Y220" s="54" t="str">
        <f>IF(X220="","",IF(OR(U220&gt;=p_gmin,X220&gt;=p_ipr_crit),"Critique",IF(X220&gt;=p_ipr_act,"Élevée",IF(X220&gt;=p_ipr_watch,"Moyenne","Faible"))))</f>
        <v/>
      </c>
      <c r="Z220" s="57" t="str">
        <f>IF(X220="","",(L220-X220)/L220)</f>
        <v/>
      </c>
      <c r="AA220" s="54" t="str">
        <f>IF(AND(D220="",O220=""),"",IF(O220="",IF(N220="Oui","Action à définir",IF(N220="Non","Sans action","")),IF(R220="Annulée","Annulée",IF(R220="Réalisée",IF(X220="","À réévaluer","Réalisée"),IF(N(Q220)=0,"Échéance manquante",IF(Q220&lt;p_today,"En retard",IF(Q220-p_today&lt;=p_alert,"Échéance proche","Dans les délais")))))))</f>
        <v/>
      </c>
      <c r="AB220" s="58" t="str">
        <f>IF(AND(A220="",B220="",D220="",F220="",H220="",K220="",O220=""),"",IF(D220="","Mode de défaillance manquant",IF(AND(A220&lt;&gt;"",COUNTIF(am_num,A220)&gt;1),"N° en double",IF(F220="","Gravité G manquante",IF(NOT(IF(ISNUMBER(F220),AND(F220&gt;=1,F220&lt;=10,F220=INT(F220)),FALSE)),"G : entier de 1 à 10",IF(H220="","Occurrence O manquante",IF(NOT(IF(ISNUMBER(H220),AND(H220&gt;=1,H220&lt;=10,H220=INT(H220)),FALSE)),"O : entier de 1 à 10",IF(K220="","Détection D manquante",IF(NOT(IF(ISNUMBER(K220),AND(K220&gt;=1,K220&lt;=10,K220=INT(K220)),FALSE)),"D : entier de 1 à 10",IF(G220="","Cause manquante",IF(AND(O220&lt;&gt;"",P220=""),"Responsable manquant",IF(AND(R220&lt;&gt;"",O220=""),"Statut sans action",IF(AND(R220="Réalisée",N(S220)=0),"Date de réalisation manquante",IF(AND(T220&lt;&gt;"",IF(ISNUMBER(T220),T220&lt;0,TRUE)),"Coût invalide",IF(AND(COUNTBLANK(U220:W220)&gt;0,COUNTBLANK(U220:W220)&lt;3),"Cotation après action incomplète",IF(AND(COUNTBLANK(U220:W220)=0,X220=""),"G', O', D' : entiers de 1 à 10",IF(AND(X220&lt;&gt;"",X220&gt;L220),"IPR après action plus élevé","OK")))))))))))))))))</f>
        <v/>
      </c>
      <c r="AC220" s="59" t="str">
        <f>IF(OR(AA220="En retard",AA220="Échéance proche",AA220="Dans les délais",AA220="Échéance manquante",AA220="Action à définir",AA220="À réévaluer"),IF(OR(plan_who="",P220=plan_who),IF(N(Q220)&gt;0,Q220,99999)*1000+ROW(),""),"")</f>
        <v/>
      </c>
      <c r="AD220" s="59" t="str">
        <f>IF(L220="","",L220*1000+1000-ROW())</f>
        <v/>
      </c>
      <c r="AE220" s="59" t="str">
        <f>IF(IF(AA220="En retard",1,IF(AA220="Action à définir",2,IF(AA220="Échéance manquante",3,IF(AA220="Échéance proche",4,IF(AA220="À réévaluer",5,0)))))=0,"",IF(AA220="En retard",1,IF(AA220="Action à définir",2,IF(AA220="Échéance manquante",3,IF(AA220="Échéance proche",4,IF(AA220="À réévaluer",5,0)))))*100000000+IF(N(Q220)&gt;0,Q220,99999)*1000+ROW())</f>
        <v/>
      </c>
      <c r="AF220" s="59" t="str">
        <f>IF(X220&lt;&gt;"",X220,L220)</f>
        <v/>
      </c>
      <c r="AG220" s="59" t="str">
        <f>IF(X220&lt;&gt;"",Y220,IF(L220&lt;&gt;"",M220,""))</f>
        <v/>
      </c>
      <c r="AH220" s="59" t="str">
        <f>IF(L220="","",IF(X220&lt;&gt;"",U220,F220))</f>
        <v/>
      </c>
      <c r="AI220" s="59" t="str">
        <f>IF(L220="","",IF(X220&lt;&gt;"",V220,H220))</f>
        <v/>
      </c>
    </row>
    <row r="221" ht="30" customHeight="1">
      <c r="A221" s="50" t="n"/>
      <c r="B221" s="51" t="n"/>
      <c r="C221" s="51" t="n"/>
      <c r="D221" s="51" t="n"/>
      <c r="E221" s="51" t="n"/>
      <c r="F221" s="52" t="n"/>
      <c r="G221" s="51" t="n"/>
      <c r="H221" s="52" t="n"/>
      <c r="I221" s="51" t="n"/>
      <c r="J221" s="51" t="n"/>
      <c r="K221" s="52" t="n"/>
      <c r="L221" s="53" t="str">
        <f>IF(AND(IF(ISNUMBER(F221),AND(F221&gt;=1,F221&lt;=10,F221=INT(F221)),FALSE),IF(ISNUMBER(H221),AND(H221&gt;=1,H221&lt;=10,H221=INT(H221)),FALSE),IF(ISNUMBER(K221),AND(K221&gt;=1,K221&lt;=10,K221=INT(K221)),FALSE)),F221*H221*K221,"")</f>
        <v/>
      </c>
      <c r="M221" s="54" t="str">
        <f>IF(L221="",IF(D221="","","À coter"),IF(OR(F221&gt;=p_gmin,L221&gt;=p_ipr_crit),"Critique",IF(L221&gt;=p_ipr_act,"Élevée",IF(L221&gt;=p_ipr_watch,"Moyenne","Faible"))))</f>
        <v/>
      </c>
      <c r="N221" s="54" t="str">
        <f>IF(OR(M221="",M221="À coter"),"",IF(OR(M221="Critique",M221="Élevée"),"Oui","Non"))</f>
        <v/>
      </c>
      <c r="O221" s="51" t="n"/>
      <c r="P221" s="51" t="n"/>
      <c r="Q221" s="55" t="n"/>
      <c r="R221" s="50" t="n"/>
      <c r="S221" s="55" t="n"/>
      <c r="T221" s="56" t="n"/>
      <c r="U221" s="52" t="n"/>
      <c r="V221" s="52" t="n"/>
      <c r="W221" s="52" t="n"/>
      <c r="X221" s="53" t="str">
        <f>IF(AND(L221&lt;&gt;"",IF(ISNUMBER(U221),AND(U221&gt;=1,U221&lt;=10,U221=INT(U221)),FALSE),IF(ISNUMBER(V221),AND(V221&gt;=1,V221&lt;=10,V221=INT(V221)),FALSE),IF(ISNUMBER(W221),AND(W221&gt;=1,W221&lt;=10,W221=INT(W221)),FALSE)),U221*V221*W221,"")</f>
        <v/>
      </c>
      <c r="Y221" s="54" t="str">
        <f>IF(X221="","",IF(OR(U221&gt;=p_gmin,X221&gt;=p_ipr_crit),"Critique",IF(X221&gt;=p_ipr_act,"Élevée",IF(X221&gt;=p_ipr_watch,"Moyenne","Faible"))))</f>
        <v/>
      </c>
      <c r="Z221" s="57" t="str">
        <f>IF(X221="","",(L221-X221)/L221)</f>
        <v/>
      </c>
      <c r="AA221" s="54" t="str">
        <f>IF(AND(D221="",O221=""),"",IF(O221="",IF(N221="Oui","Action à définir",IF(N221="Non","Sans action","")),IF(R221="Annulée","Annulée",IF(R221="Réalisée",IF(X221="","À réévaluer","Réalisée"),IF(N(Q221)=0,"Échéance manquante",IF(Q221&lt;p_today,"En retard",IF(Q221-p_today&lt;=p_alert,"Échéance proche","Dans les délais")))))))</f>
        <v/>
      </c>
      <c r="AB221" s="58" t="str">
        <f>IF(AND(A221="",B221="",D221="",F221="",H221="",K221="",O221=""),"",IF(D221="","Mode de défaillance manquant",IF(AND(A221&lt;&gt;"",COUNTIF(am_num,A221)&gt;1),"N° en double",IF(F221="","Gravité G manquante",IF(NOT(IF(ISNUMBER(F221),AND(F221&gt;=1,F221&lt;=10,F221=INT(F221)),FALSE)),"G : entier de 1 à 10",IF(H221="","Occurrence O manquante",IF(NOT(IF(ISNUMBER(H221),AND(H221&gt;=1,H221&lt;=10,H221=INT(H221)),FALSE)),"O : entier de 1 à 10",IF(K221="","Détection D manquante",IF(NOT(IF(ISNUMBER(K221),AND(K221&gt;=1,K221&lt;=10,K221=INT(K221)),FALSE)),"D : entier de 1 à 10",IF(G221="","Cause manquante",IF(AND(O221&lt;&gt;"",P221=""),"Responsable manquant",IF(AND(R221&lt;&gt;"",O221=""),"Statut sans action",IF(AND(R221="Réalisée",N(S221)=0),"Date de réalisation manquante",IF(AND(T221&lt;&gt;"",IF(ISNUMBER(T221),T221&lt;0,TRUE)),"Coût invalide",IF(AND(COUNTBLANK(U221:W221)&gt;0,COUNTBLANK(U221:W221)&lt;3),"Cotation après action incomplète",IF(AND(COUNTBLANK(U221:W221)=0,X221=""),"G', O', D' : entiers de 1 à 10",IF(AND(X221&lt;&gt;"",X221&gt;L221),"IPR après action plus élevé","OK")))))))))))))))))</f>
        <v/>
      </c>
      <c r="AC221" s="59" t="str">
        <f>IF(OR(AA221="En retard",AA221="Échéance proche",AA221="Dans les délais",AA221="Échéance manquante",AA221="Action à définir",AA221="À réévaluer"),IF(OR(plan_who="",P221=plan_who),IF(N(Q221)&gt;0,Q221,99999)*1000+ROW(),""),"")</f>
        <v/>
      </c>
      <c r="AD221" s="59" t="str">
        <f>IF(L221="","",L221*1000+1000-ROW())</f>
        <v/>
      </c>
      <c r="AE221" s="59" t="str">
        <f>IF(IF(AA221="En retard",1,IF(AA221="Action à définir",2,IF(AA221="Échéance manquante",3,IF(AA221="Échéance proche",4,IF(AA221="À réévaluer",5,0)))))=0,"",IF(AA221="En retard",1,IF(AA221="Action à définir",2,IF(AA221="Échéance manquante",3,IF(AA221="Échéance proche",4,IF(AA221="À réévaluer",5,0)))))*100000000+IF(N(Q221)&gt;0,Q221,99999)*1000+ROW())</f>
        <v/>
      </c>
      <c r="AF221" s="59" t="str">
        <f>IF(X221&lt;&gt;"",X221,L221)</f>
        <v/>
      </c>
      <c r="AG221" s="59" t="str">
        <f>IF(X221&lt;&gt;"",Y221,IF(L221&lt;&gt;"",M221,""))</f>
        <v/>
      </c>
      <c r="AH221" s="59" t="str">
        <f>IF(L221="","",IF(X221&lt;&gt;"",U221,F221))</f>
        <v/>
      </c>
      <c r="AI221" s="59" t="str">
        <f>IF(L221="","",IF(X221&lt;&gt;"",V221,H221))</f>
        <v/>
      </c>
    </row>
    <row r="222" ht="30" customHeight="1">
      <c r="A222" s="50" t="n"/>
      <c r="B222" s="51" t="n"/>
      <c r="C222" s="51" t="n"/>
      <c r="D222" s="51" t="n"/>
      <c r="E222" s="51" t="n"/>
      <c r="F222" s="52" t="n"/>
      <c r="G222" s="51" t="n"/>
      <c r="H222" s="52" t="n"/>
      <c r="I222" s="51" t="n"/>
      <c r="J222" s="51" t="n"/>
      <c r="K222" s="52" t="n"/>
      <c r="L222" s="53" t="str">
        <f>IF(AND(IF(ISNUMBER(F222),AND(F222&gt;=1,F222&lt;=10,F222=INT(F222)),FALSE),IF(ISNUMBER(H222),AND(H222&gt;=1,H222&lt;=10,H222=INT(H222)),FALSE),IF(ISNUMBER(K222),AND(K222&gt;=1,K222&lt;=10,K222=INT(K222)),FALSE)),F222*H222*K222,"")</f>
        <v/>
      </c>
      <c r="M222" s="54" t="str">
        <f>IF(L222="",IF(D222="","","À coter"),IF(OR(F222&gt;=p_gmin,L222&gt;=p_ipr_crit),"Critique",IF(L222&gt;=p_ipr_act,"Élevée",IF(L222&gt;=p_ipr_watch,"Moyenne","Faible"))))</f>
        <v/>
      </c>
      <c r="N222" s="54" t="str">
        <f>IF(OR(M222="",M222="À coter"),"",IF(OR(M222="Critique",M222="Élevée"),"Oui","Non"))</f>
        <v/>
      </c>
      <c r="O222" s="51" t="n"/>
      <c r="P222" s="51" t="n"/>
      <c r="Q222" s="55" t="n"/>
      <c r="R222" s="50" t="n"/>
      <c r="S222" s="55" t="n"/>
      <c r="T222" s="56" t="n"/>
      <c r="U222" s="52" t="n"/>
      <c r="V222" s="52" t="n"/>
      <c r="W222" s="52" t="n"/>
      <c r="X222" s="53" t="str">
        <f>IF(AND(L222&lt;&gt;"",IF(ISNUMBER(U222),AND(U222&gt;=1,U222&lt;=10,U222=INT(U222)),FALSE),IF(ISNUMBER(V222),AND(V222&gt;=1,V222&lt;=10,V222=INT(V222)),FALSE),IF(ISNUMBER(W222),AND(W222&gt;=1,W222&lt;=10,W222=INT(W222)),FALSE)),U222*V222*W222,"")</f>
        <v/>
      </c>
      <c r="Y222" s="54" t="str">
        <f>IF(X222="","",IF(OR(U222&gt;=p_gmin,X222&gt;=p_ipr_crit),"Critique",IF(X222&gt;=p_ipr_act,"Élevée",IF(X222&gt;=p_ipr_watch,"Moyenne","Faible"))))</f>
        <v/>
      </c>
      <c r="Z222" s="57" t="str">
        <f>IF(X222="","",(L222-X222)/L222)</f>
        <v/>
      </c>
      <c r="AA222" s="54" t="str">
        <f>IF(AND(D222="",O222=""),"",IF(O222="",IF(N222="Oui","Action à définir",IF(N222="Non","Sans action","")),IF(R222="Annulée","Annulée",IF(R222="Réalisée",IF(X222="","À réévaluer","Réalisée"),IF(N(Q222)=0,"Échéance manquante",IF(Q222&lt;p_today,"En retard",IF(Q222-p_today&lt;=p_alert,"Échéance proche","Dans les délais")))))))</f>
        <v/>
      </c>
      <c r="AB222" s="58" t="str">
        <f>IF(AND(A222="",B222="",D222="",F222="",H222="",K222="",O222=""),"",IF(D222="","Mode de défaillance manquant",IF(AND(A222&lt;&gt;"",COUNTIF(am_num,A222)&gt;1),"N° en double",IF(F222="","Gravité G manquante",IF(NOT(IF(ISNUMBER(F222),AND(F222&gt;=1,F222&lt;=10,F222=INT(F222)),FALSE)),"G : entier de 1 à 10",IF(H222="","Occurrence O manquante",IF(NOT(IF(ISNUMBER(H222),AND(H222&gt;=1,H222&lt;=10,H222=INT(H222)),FALSE)),"O : entier de 1 à 10",IF(K222="","Détection D manquante",IF(NOT(IF(ISNUMBER(K222),AND(K222&gt;=1,K222&lt;=10,K222=INT(K222)),FALSE)),"D : entier de 1 à 10",IF(G222="","Cause manquante",IF(AND(O222&lt;&gt;"",P222=""),"Responsable manquant",IF(AND(R222&lt;&gt;"",O222=""),"Statut sans action",IF(AND(R222="Réalisée",N(S222)=0),"Date de réalisation manquante",IF(AND(T222&lt;&gt;"",IF(ISNUMBER(T222),T222&lt;0,TRUE)),"Coût invalide",IF(AND(COUNTBLANK(U222:W222)&gt;0,COUNTBLANK(U222:W222)&lt;3),"Cotation après action incomplète",IF(AND(COUNTBLANK(U222:W222)=0,X222=""),"G', O', D' : entiers de 1 à 10",IF(AND(X222&lt;&gt;"",X222&gt;L222),"IPR après action plus élevé","OK")))))))))))))))))</f>
        <v/>
      </c>
      <c r="AC222" s="59" t="str">
        <f>IF(OR(AA222="En retard",AA222="Échéance proche",AA222="Dans les délais",AA222="Échéance manquante",AA222="Action à définir",AA222="À réévaluer"),IF(OR(plan_who="",P222=plan_who),IF(N(Q222)&gt;0,Q222,99999)*1000+ROW(),""),"")</f>
        <v/>
      </c>
      <c r="AD222" s="59" t="str">
        <f>IF(L222="","",L222*1000+1000-ROW())</f>
        <v/>
      </c>
      <c r="AE222" s="59" t="str">
        <f>IF(IF(AA222="En retard",1,IF(AA222="Action à définir",2,IF(AA222="Échéance manquante",3,IF(AA222="Échéance proche",4,IF(AA222="À réévaluer",5,0)))))=0,"",IF(AA222="En retard",1,IF(AA222="Action à définir",2,IF(AA222="Échéance manquante",3,IF(AA222="Échéance proche",4,IF(AA222="À réévaluer",5,0)))))*100000000+IF(N(Q222)&gt;0,Q222,99999)*1000+ROW())</f>
        <v/>
      </c>
      <c r="AF222" s="59" t="str">
        <f>IF(X222&lt;&gt;"",X222,L222)</f>
        <v/>
      </c>
      <c r="AG222" s="59" t="str">
        <f>IF(X222&lt;&gt;"",Y222,IF(L222&lt;&gt;"",M222,""))</f>
        <v/>
      </c>
      <c r="AH222" s="59" t="str">
        <f>IF(L222="","",IF(X222&lt;&gt;"",U222,F222))</f>
        <v/>
      </c>
      <c r="AI222" s="59" t="str">
        <f>IF(L222="","",IF(X222&lt;&gt;"",V222,H222))</f>
        <v/>
      </c>
    </row>
    <row r="223" ht="30" customHeight="1">
      <c r="A223" s="50" t="n"/>
      <c r="B223" s="51" t="n"/>
      <c r="C223" s="51" t="n"/>
      <c r="D223" s="51" t="n"/>
      <c r="E223" s="51" t="n"/>
      <c r="F223" s="52" t="n"/>
      <c r="G223" s="51" t="n"/>
      <c r="H223" s="52" t="n"/>
      <c r="I223" s="51" t="n"/>
      <c r="J223" s="51" t="n"/>
      <c r="K223" s="52" t="n"/>
      <c r="L223" s="53" t="str">
        <f>IF(AND(IF(ISNUMBER(F223),AND(F223&gt;=1,F223&lt;=10,F223=INT(F223)),FALSE),IF(ISNUMBER(H223),AND(H223&gt;=1,H223&lt;=10,H223=INT(H223)),FALSE),IF(ISNUMBER(K223),AND(K223&gt;=1,K223&lt;=10,K223=INT(K223)),FALSE)),F223*H223*K223,"")</f>
        <v/>
      </c>
      <c r="M223" s="54" t="str">
        <f>IF(L223="",IF(D223="","","À coter"),IF(OR(F223&gt;=p_gmin,L223&gt;=p_ipr_crit),"Critique",IF(L223&gt;=p_ipr_act,"Élevée",IF(L223&gt;=p_ipr_watch,"Moyenne","Faible"))))</f>
        <v/>
      </c>
      <c r="N223" s="54" t="str">
        <f>IF(OR(M223="",M223="À coter"),"",IF(OR(M223="Critique",M223="Élevée"),"Oui","Non"))</f>
        <v/>
      </c>
      <c r="O223" s="51" t="n"/>
      <c r="P223" s="51" t="n"/>
      <c r="Q223" s="55" t="n"/>
      <c r="R223" s="50" t="n"/>
      <c r="S223" s="55" t="n"/>
      <c r="T223" s="56" t="n"/>
      <c r="U223" s="52" t="n"/>
      <c r="V223" s="52" t="n"/>
      <c r="W223" s="52" t="n"/>
      <c r="X223" s="53" t="str">
        <f>IF(AND(L223&lt;&gt;"",IF(ISNUMBER(U223),AND(U223&gt;=1,U223&lt;=10,U223=INT(U223)),FALSE),IF(ISNUMBER(V223),AND(V223&gt;=1,V223&lt;=10,V223=INT(V223)),FALSE),IF(ISNUMBER(W223),AND(W223&gt;=1,W223&lt;=10,W223=INT(W223)),FALSE)),U223*V223*W223,"")</f>
        <v/>
      </c>
      <c r="Y223" s="54" t="str">
        <f>IF(X223="","",IF(OR(U223&gt;=p_gmin,X223&gt;=p_ipr_crit),"Critique",IF(X223&gt;=p_ipr_act,"Élevée",IF(X223&gt;=p_ipr_watch,"Moyenne","Faible"))))</f>
        <v/>
      </c>
      <c r="Z223" s="57" t="str">
        <f>IF(X223="","",(L223-X223)/L223)</f>
        <v/>
      </c>
      <c r="AA223" s="54" t="str">
        <f>IF(AND(D223="",O223=""),"",IF(O223="",IF(N223="Oui","Action à définir",IF(N223="Non","Sans action","")),IF(R223="Annulée","Annulée",IF(R223="Réalisée",IF(X223="","À réévaluer","Réalisée"),IF(N(Q223)=0,"Échéance manquante",IF(Q223&lt;p_today,"En retard",IF(Q223-p_today&lt;=p_alert,"Échéance proche","Dans les délais")))))))</f>
        <v/>
      </c>
      <c r="AB223" s="58" t="str">
        <f>IF(AND(A223="",B223="",D223="",F223="",H223="",K223="",O223=""),"",IF(D223="","Mode de défaillance manquant",IF(AND(A223&lt;&gt;"",COUNTIF(am_num,A223)&gt;1),"N° en double",IF(F223="","Gravité G manquante",IF(NOT(IF(ISNUMBER(F223),AND(F223&gt;=1,F223&lt;=10,F223=INT(F223)),FALSE)),"G : entier de 1 à 10",IF(H223="","Occurrence O manquante",IF(NOT(IF(ISNUMBER(H223),AND(H223&gt;=1,H223&lt;=10,H223=INT(H223)),FALSE)),"O : entier de 1 à 10",IF(K223="","Détection D manquante",IF(NOT(IF(ISNUMBER(K223),AND(K223&gt;=1,K223&lt;=10,K223=INT(K223)),FALSE)),"D : entier de 1 à 10",IF(G223="","Cause manquante",IF(AND(O223&lt;&gt;"",P223=""),"Responsable manquant",IF(AND(R223&lt;&gt;"",O223=""),"Statut sans action",IF(AND(R223="Réalisée",N(S223)=0),"Date de réalisation manquante",IF(AND(T223&lt;&gt;"",IF(ISNUMBER(T223),T223&lt;0,TRUE)),"Coût invalide",IF(AND(COUNTBLANK(U223:W223)&gt;0,COUNTBLANK(U223:W223)&lt;3),"Cotation après action incomplète",IF(AND(COUNTBLANK(U223:W223)=0,X223=""),"G', O', D' : entiers de 1 à 10",IF(AND(X223&lt;&gt;"",X223&gt;L223),"IPR après action plus élevé","OK")))))))))))))))))</f>
        <v/>
      </c>
      <c r="AC223" s="59" t="str">
        <f>IF(OR(AA223="En retard",AA223="Échéance proche",AA223="Dans les délais",AA223="Échéance manquante",AA223="Action à définir",AA223="À réévaluer"),IF(OR(plan_who="",P223=plan_who),IF(N(Q223)&gt;0,Q223,99999)*1000+ROW(),""),"")</f>
        <v/>
      </c>
      <c r="AD223" s="59" t="str">
        <f>IF(L223="","",L223*1000+1000-ROW())</f>
        <v/>
      </c>
      <c r="AE223" s="59" t="str">
        <f>IF(IF(AA223="En retard",1,IF(AA223="Action à définir",2,IF(AA223="Échéance manquante",3,IF(AA223="Échéance proche",4,IF(AA223="À réévaluer",5,0)))))=0,"",IF(AA223="En retard",1,IF(AA223="Action à définir",2,IF(AA223="Échéance manquante",3,IF(AA223="Échéance proche",4,IF(AA223="À réévaluer",5,0)))))*100000000+IF(N(Q223)&gt;0,Q223,99999)*1000+ROW())</f>
        <v/>
      </c>
      <c r="AF223" s="59" t="str">
        <f>IF(X223&lt;&gt;"",X223,L223)</f>
        <v/>
      </c>
      <c r="AG223" s="59" t="str">
        <f>IF(X223&lt;&gt;"",Y223,IF(L223&lt;&gt;"",M223,""))</f>
        <v/>
      </c>
      <c r="AH223" s="59" t="str">
        <f>IF(L223="","",IF(X223&lt;&gt;"",U223,F223))</f>
        <v/>
      </c>
      <c r="AI223" s="59" t="str">
        <f>IF(L223="","",IF(X223&lt;&gt;"",V223,H223))</f>
        <v/>
      </c>
    </row>
    <row r="224" ht="30" customHeight="1">
      <c r="A224" s="50" t="n"/>
      <c r="B224" s="51" t="n"/>
      <c r="C224" s="51" t="n"/>
      <c r="D224" s="51" t="n"/>
      <c r="E224" s="51" t="n"/>
      <c r="F224" s="52" t="n"/>
      <c r="G224" s="51" t="n"/>
      <c r="H224" s="52" t="n"/>
      <c r="I224" s="51" t="n"/>
      <c r="J224" s="51" t="n"/>
      <c r="K224" s="52" t="n"/>
      <c r="L224" s="53" t="str">
        <f>IF(AND(IF(ISNUMBER(F224),AND(F224&gt;=1,F224&lt;=10,F224=INT(F224)),FALSE),IF(ISNUMBER(H224),AND(H224&gt;=1,H224&lt;=10,H224=INT(H224)),FALSE),IF(ISNUMBER(K224),AND(K224&gt;=1,K224&lt;=10,K224=INT(K224)),FALSE)),F224*H224*K224,"")</f>
        <v/>
      </c>
      <c r="M224" s="54" t="str">
        <f>IF(L224="",IF(D224="","","À coter"),IF(OR(F224&gt;=p_gmin,L224&gt;=p_ipr_crit),"Critique",IF(L224&gt;=p_ipr_act,"Élevée",IF(L224&gt;=p_ipr_watch,"Moyenne","Faible"))))</f>
        <v/>
      </c>
      <c r="N224" s="54" t="str">
        <f>IF(OR(M224="",M224="À coter"),"",IF(OR(M224="Critique",M224="Élevée"),"Oui","Non"))</f>
        <v/>
      </c>
      <c r="O224" s="51" t="n"/>
      <c r="P224" s="51" t="n"/>
      <c r="Q224" s="55" t="n"/>
      <c r="R224" s="50" t="n"/>
      <c r="S224" s="55" t="n"/>
      <c r="T224" s="56" t="n"/>
      <c r="U224" s="52" t="n"/>
      <c r="V224" s="52" t="n"/>
      <c r="W224" s="52" t="n"/>
      <c r="X224" s="53" t="str">
        <f>IF(AND(L224&lt;&gt;"",IF(ISNUMBER(U224),AND(U224&gt;=1,U224&lt;=10,U224=INT(U224)),FALSE),IF(ISNUMBER(V224),AND(V224&gt;=1,V224&lt;=10,V224=INT(V224)),FALSE),IF(ISNUMBER(W224),AND(W224&gt;=1,W224&lt;=10,W224=INT(W224)),FALSE)),U224*V224*W224,"")</f>
        <v/>
      </c>
      <c r="Y224" s="54" t="str">
        <f>IF(X224="","",IF(OR(U224&gt;=p_gmin,X224&gt;=p_ipr_crit),"Critique",IF(X224&gt;=p_ipr_act,"Élevée",IF(X224&gt;=p_ipr_watch,"Moyenne","Faible"))))</f>
        <v/>
      </c>
      <c r="Z224" s="57" t="str">
        <f>IF(X224="","",(L224-X224)/L224)</f>
        <v/>
      </c>
      <c r="AA224" s="54" t="str">
        <f>IF(AND(D224="",O224=""),"",IF(O224="",IF(N224="Oui","Action à définir",IF(N224="Non","Sans action","")),IF(R224="Annulée","Annulée",IF(R224="Réalisée",IF(X224="","À réévaluer","Réalisée"),IF(N(Q224)=0,"Échéance manquante",IF(Q224&lt;p_today,"En retard",IF(Q224-p_today&lt;=p_alert,"Échéance proche","Dans les délais")))))))</f>
        <v/>
      </c>
      <c r="AB224" s="58" t="str">
        <f>IF(AND(A224="",B224="",D224="",F224="",H224="",K224="",O224=""),"",IF(D224="","Mode de défaillance manquant",IF(AND(A224&lt;&gt;"",COUNTIF(am_num,A224)&gt;1),"N° en double",IF(F224="","Gravité G manquante",IF(NOT(IF(ISNUMBER(F224),AND(F224&gt;=1,F224&lt;=10,F224=INT(F224)),FALSE)),"G : entier de 1 à 10",IF(H224="","Occurrence O manquante",IF(NOT(IF(ISNUMBER(H224),AND(H224&gt;=1,H224&lt;=10,H224=INT(H224)),FALSE)),"O : entier de 1 à 10",IF(K224="","Détection D manquante",IF(NOT(IF(ISNUMBER(K224),AND(K224&gt;=1,K224&lt;=10,K224=INT(K224)),FALSE)),"D : entier de 1 à 10",IF(G224="","Cause manquante",IF(AND(O224&lt;&gt;"",P224=""),"Responsable manquant",IF(AND(R224&lt;&gt;"",O224=""),"Statut sans action",IF(AND(R224="Réalisée",N(S224)=0),"Date de réalisation manquante",IF(AND(T224&lt;&gt;"",IF(ISNUMBER(T224),T224&lt;0,TRUE)),"Coût invalide",IF(AND(COUNTBLANK(U224:W224)&gt;0,COUNTBLANK(U224:W224)&lt;3),"Cotation après action incomplète",IF(AND(COUNTBLANK(U224:W224)=0,X224=""),"G', O', D' : entiers de 1 à 10",IF(AND(X224&lt;&gt;"",X224&gt;L224),"IPR après action plus élevé","OK")))))))))))))))))</f>
        <v/>
      </c>
      <c r="AC224" s="59" t="str">
        <f>IF(OR(AA224="En retard",AA224="Échéance proche",AA224="Dans les délais",AA224="Échéance manquante",AA224="Action à définir",AA224="À réévaluer"),IF(OR(plan_who="",P224=plan_who),IF(N(Q224)&gt;0,Q224,99999)*1000+ROW(),""),"")</f>
        <v/>
      </c>
      <c r="AD224" s="59" t="str">
        <f>IF(L224="","",L224*1000+1000-ROW())</f>
        <v/>
      </c>
      <c r="AE224" s="59" t="str">
        <f>IF(IF(AA224="En retard",1,IF(AA224="Action à définir",2,IF(AA224="Échéance manquante",3,IF(AA224="Échéance proche",4,IF(AA224="À réévaluer",5,0)))))=0,"",IF(AA224="En retard",1,IF(AA224="Action à définir",2,IF(AA224="Échéance manquante",3,IF(AA224="Échéance proche",4,IF(AA224="À réévaluer",5,0)))))*100000000+IF(N(Q224)&gt;0,Q224,99999)*1000+ROW())</f>
        <v/>
      </c>
      <c r="AF224" s="59" t="str">
        <f>IF(X224&lt;&gt;"",X224,L224)</f>
        <v/>
      </c>
      <c r="AG224" s="59" t="str">
        <f>IF(X224&lt;&gt;"",Y224,IF(L224&lt;&gt;"",M224,""))</f>
        <v/>
      </c>
      <c r="AH224" s="59" t="str">
        <f>IF(L224="","",IF(X224&lt;&gt;"",U224,F224))</f>
        <v/>
      </c>
      <c r="AI224" s="59" t="str">
        <f>IF(L224="","",IF(X224&lt;&gt;"",V224,H224))</f>
        <v/>
      </c>
    </row>
    <row r="225" ht="30" customHeight="1">
      <c r="A225" s="50" t="n"/>
      <c r="B225" s="51" t="n"/>
      <c r="C225" s="51" t="n"/>
      <c r="D225" s="51" t="n"/>
      <c r="E225" s="51" t="n"/>
      <c r="F225" s="52" t="n"/>
      <c r="G225" s="51" t="n"/>
      <c r="H225" s="52" t="n"/>
      <c r="I225" s="51" t="n"/>
      <c r="J225" s="51" t="n"/>
      <c r="K225" s="52" t="n"/>
      <c r="L225" s="53" t="str">
        <f>IF(AND(IF(ISNUMBER(F225),AND(F225&gt;=1,F225&lt;=10,F225=INT(F225)),FALSE),IF(ISNUMBER(H225),AND(H225&gt;=1,H225&lt;=10,H225=INT(H225)),FALSE),IF(ISNUMBER(K225),AND(K225&gt;=1,K225&lt;=10,K225=INT(K225)),FALSE)),F225*H225*K225,"")</f>
        <v/>
      </c>
      <c r="M225" s="54" t="str">
        <f>IF(L225="",IF(D225="","","À coter"),IF(OR(F225&gt;=p_gmin,L225&gt;=p_ipr_crit),"Critique",IF(L225&gt;=p_ipr_act,"Élevée",IF(L225&gt;=p_ipr_watch,"Moyenne","Faible"))))</f>
        <v/>
      </c>
      <c r="N225" s="54" t="str">
        <f>IF(OR(M225="",M225="À coter"),"",IF(OR(M225="Critique",M225="Élevée"),"Oui","Non"))</f>
        <v/>
      </c>
      <c r="O225" s="51" t="n"/>
      <c r="P225" s="51" t="n"/>
      <c r="Q225" s="55" t="n"/>
      <c r="R225" s="50" t="n"/>
      <c r="S225" s="55" t="n"/>
      <c r="T225" s="56" t="n"/>
      <c r="U225" s="52" t="n"/>
      <c r="V225" s="52" t="n"/>
      <c r="W225" s="52" t="n"/>
      <c r="X225" s="53" t="str">
        <f>IF(AND(L225&lt;&gt;"",IF(ISNUMBER(U225),AND(U225&gt;=1,U225&lt;=10,U225=INT(U225)),FALSE),IF(ISNUMBER(V225),AND(V225&gt;=1,V225&lt;=10,V225=INT(V225)),FALSE),IF(ISNUMBER(W225),AND(W225&gt;=1,W225&lt;=10,W225=INT(W225)),FALSE)),U225*V225*W225,"")</f>
        <v/>
      </c>
      <c r="Y225" s="54" t="str">
        <f>IF(X225="","",IF(OR(U225&gt;=p_gmin,X225&gt;=p_ipr_crit),"Critique",IF(X225&gt;=p_ipr_act,"Élevée",IF(X225&gt;=p_ipr_watch,"Moyenne","Faible"))))</f>
        <v/>
      </c>
      <c r="Z225" s="57" t="str">
        <f>IF(X225="","",(L225-X225)/L225)</f>
        <v/>
      </c>
      <c r="AA225" s="54" t="str">
        <f>IF(AND(D225="",O225=""),"",IF(O225="",IF(N225="Oui","Action à définir",IF(N225="Non","Sans action","")),IF(R225="Annulée","Annulée",IF(R225="Réalisée",IF(X225="","À réévaluer","Réalisée"),IF(N(Q225)=0,"Échéance manquante",IF(Q225&lt;p_today,"En retard",IF(Q225-p_today&lt;=p_alert,"Échéance proche","Dans les délais")))))))</f>
        <v/>
      </c>
      <c r="AB225" s="58" t="str">
        <f>IF(AND(A225="",B225="",D225="",F225="",H225="",K225="",O225=""),"",IF(D225="","Mode de défaillance manquant",IF(AND(A225&lt;&gt;"",COUNTIF(am_num,A225)&gt;1),"N° en double",IF(F225="","Gravité G manquante",IF(NOT(IF(ISNUMBER(F225),AND(F225&gt;=1,F225&lt;=10,F225=INT(F225)),FALSE)),"G : entier de 1 à 10",IF(H225="","Occurrence O manquante",IF(NOT(IF(ISNUMBER(H225),AND(H225&gt;=1,H225&lt;=10,H225=INT(H225)),FALSE)),"O : entier de 1 à 10",IF(K225="","Détection D manquante",IF(NOT(IF(ISNUMBER(K225),AND(K225&gt;=1,K225&lt;=10,K225=INT(K225)),FALSE)),"D : entier de 1 à 10",IF(G225="","Cause manquante",IF(AND(O225&lt;&gt;"",P225=""),"Responsable manquant",IF(AND(R225&lt;&gt;"",O225=""),"Statut sans action",IF(AND(R225="Réalisée",N(S225)=0),"Date de réalisation manquante",IF(AND(T225&lt;&gt;"",IF(ISNUMBER(T225),T225&lt;0,TRUE)),"Coût invalide",IF(AND(COUNTBLANK(U225:W225)&gt;0,COUNTBLANK(U225:W225)&lt;3),"Cotation après action incomplète",IF(AND(COUNTBLANK(U225:W225)=0,X225=""),"G', O', D' : entiers de 1 à 10",IF(AND(X225&lt;&gt;"",X225&gt;L225),"IPR après action plus élevé","OK")))))))))))))))))</f>
        <v/>
      </c>
      <c r="AC225" s="59" t="str">
        <f>IF(OR(AA225="En retard",AA225="Échéance proche",AA225="Dans les délais",AA225="Échéance manquante",AA225="Action à définir",AA225="À réévaluer"),IF(OR(plan_who="",P225=plan_who),IF(N(Q225)&gt;0,Q225,99999)*1000+ROW(),""),"")</f>
        <v/>
      </c>
      <c r="AD225" s="59" t="str">
        <f>IF(L225="","",L225*1000+1000-ROW())</f>
        <v/>
      </c>
      <c r="AE225" s="59" t="str">
        <f>IF(IF(AA225="En retard",1,IF(AA225="Action à définir",2,IF(AA225="Échéance manquante",3,IF(AA225="Échéance proche",4,IF(AA225="À réévaluer",5,0)))))=0,"",IF(AA225="En retard",1,IF(AA225="Action à définir",2,IF(AA225="Échéance manquante",3,IF(AA225="Échéance proche",4,IF(AA225="À réévaluer",5,0)))))*100000000+IF(N(Q225)&gt;0,Q225,99999)*1000+ROW())</f>
        <v/>
      </c>
      <c r="AF225" s="59" t="str">
        <f>IF(X225&lt;&gt;"",X225,L225)</f>
        <v/>
      </c>
      <c r="AG225" s="59" t="str">
        <f>IF(X225&lt;&gt;"",Y225,IF(L225&lt;&gt;"",M225,""))</f>
        <v/>
      </c>
      <c r="AH225" s="59" t="str">
        <f>IF(L225="","",IF(X225&lt;&gt;"",U225,F225))</f>
        <v/>
      </c>
      <c r="AI225" s="59" t="str">
        <f>IF(L225="","",IF(X225&lt;&gt;"",V225,H225))</f>
        <v/>
      </c>
    </row>
    <row r="226" ht="30" customHeight="1">
      <c r="A226" s="50" t="n"/>
      <c r="B226" s="51" t="n"/>
      <c r="C226" s="51" t="n"/>
      <c r="D226" s="51" t="n"/>
      <c r="E226" s="51" t="n"/>
      <c r="F226" s="52" t="n"/>
      <c r="G226" s="51" t="n"/>
      <c r="H226" s="52" t="n"/>
      <c r="I226" s="51" t="n"/>
      <c r="J226" s="51" t="n"/>
      <c r="K226" s="52" t="n"/>
      <c r="L226" s="53" t="str">
        <f>IF(AND(IF(ISNUMBER(F226),AND(F226&gt;=1,F226&lt;=10,F226=INT(F226)),FALSE),IF(ISNUMBER(H226),AND(H226&gt;=1,H226&lt;=10,H226=INT(H226)),FALSE),IF(ISNUMBER(K226),AND(K226&gt;=1,K226&lt;=10,K226=INT(K226)),FALSE)),F226*H226*K226,"")</f>
        <v/>
      </c>
      <c r="M226" s="54" t="str">
        <f>IF(L226="",IF(D226="","","À coter"),IF(OR(F226&gt;=p_gmin,L226&gt;=p_ipr_crit),"Critique",IF(L226&gt;=p_ipr_act,"Élevée",IF(L226&gt;=p_ipr_watch,"Moyenne","Faible"))))</f>
        <v/>
      </c>
      <c r="N226" s="54" t="str">
        <f>IF(OR(M226="",M226="À coter"),"",IF(OR(M226="Critique",M226="Élevée"),"Oui","Non"))</f>
        <v/>
      </c>
      <c r="O226" s="51" t="n"/>
      <c r="P226" s="51" t="n"/>
      <c r="Q226" s="55" t="n"/>
      <c r="R226" s="50" t="n"/>
      <c r="S226" s="55" t="n"/>
      <c r="T226" s="56" t="n"/>
      <c r="U226" s="52" t="n"/>
      <c r="V226" s="52" t="n"/>
      <c r="W226" s="52" t="n"/>
      <c r="X226" s="53" t="str">
        <f>IF(AND(L226&lt;&gt;"",IF(ISNUMBER(U226),AND(U226&gt;=1,U226&lt;=10,U226=INT(U226)),FALSE),IF(ISNUMBER(V226),AND(V226&gt;=1,V226&lt;=10,V226=INT(V226)),FALSE),IF(ISNUMBER(W226),AND(W226&gt;=1,W226&lt;=10,W226=INT(W226)),FALSE)),U226*V226*W226,"")</f>
        <v/>
      </c>
      <c r="Y226" s="54" t="str">
        <f>IF(X226="","",IF(OR(U226&gt;=p_gmin,X226&gt;=p_ipr_crit),"Critique",IF(X226&gt;=p_ipr_act,"Élevée",IF(X226&gt;=p_ipr_watch,"Moyenne","Faible"))))</f>
        <v/>
      </c>
      <c r="Z226" s="57" t="str">
        <f>IF(X226="","",(L226-X226)/L226)</f>
        <v/>
      </c>
      <c r="AA226" s="54" t="str">
        <f>IF(AND(D226="",O226=""),"",IF(O226="",IF(N226="Oui","Action à définir",IF(N226="Non","Sans action","")),IF(R226="Annulée","Annulée",IF(R226="Réalisée",IF(X226="","À réévaluer","Réalisée"),IF(N(Q226)=0,"Échéance manquante",IF(Q226&lt;p_today,"En retard",IF(Q226-p_today&lt;=p_alert,"Échéance proche","Dans les délais")))))))</f>
        <v/>
      </c>
      <c r="AB226" s="58" t="str">
        <f>IF(AND(A226="",B226="",D226="",F226="",H226="",K226="",O226=""),"",IF(D226="","Mode de défaillance manquant",IF(AND(A226&lt;&gt;"",COUNTIF(am_num,A226)&gt;1),"N° en double",IF(F226="","Gravité G manquante",IF(NOT(IF(ISNUMBER(F226),AND(F226&gt;=1,F226&lt;=10,F226=INT(F226)),FALSE)),"G : entier de 1 à 10",IF(H226="","Occurrence O manquante",IF(NOT(IF(ISNUMBER(H226),AND(H226&gt;=1,H226&lt;=10,H226=INT(H226)),FALSE)),"O : entier de 1 à 10",IF(K226="","Détection D manquante",IF(NOT(IF(ISNUMBER(K226),AND(K226&gt;=1,K226&lt;=10,K226=INT(K226)),FALSE)),"D : entier de 1 à 10",IF(G226="","Cause manquante",IF(AND(O226&lt;&gt;"",P226=""),"Responsable manquant",IF(AND(R226&lt;&gt;"",O226=""),"Statut sans action",IF(AND(R226="Réalisée",N(S226)=0),"Date de réalisation manquante",IF(AND(T226&lt;&gt;"",IF(ISNUMBER(T226),T226&lt;0,TRUE)),"Coût invalide",IF(AND(COUNTBLANK(U226:W226)&gt;0,COUNTBLANK(U226:W226)&lt;3),"Cotation après action incomplète",IF(AND(COUNTBLANK(U226:W226)=0,X226=""),"G', O', D' : entiers de 1 à 10",IF(AND(X226&lt;&gt;"",X226&gt;L226),"IPR après action plus élevé","OK")))))))))))))))))</f>
        <v/>
      </c>
      <c r="AC226" s="59" t="str">
        <f>IF(OR(AA226="En retard",AA226="Échéance proche",AA226="Dans les délais",AA226="Échéance manquante",AA226="Action à définir",AA226="À réévaluer"),IF(OR(plan_who="",P226=plan_who),IF(N(Q226)&gt;0,Q226,99999)*1000+ROW(),""),"")</f>
        <v/>
      </c>
      <c r="AD226" s="59" t="str">
        <f>IF(L226="","",L226*1000+1000-ROW())</f>
        <v/>
      </c>
      <c r="AE226" s="59" t="str">
        <f>IF(IF(AA226="En retard",1,IF(AA226="Action à définir",2,IF(AA226="Échéance manquante",3,IF(AA226="Échéance proche",4,IF(AA226="À réévaluer",5,0)))))=0,"",IF(AA226="En retard",1,IF(AA226="Action à définir",2,IF(AA226="Échéance manquante",3,IF(AA226="Échéance proche",4,IF(AA226="À réévaluer",5,0)))))*100000000+IF(N(Q226)&gt;0,Q226,99999)*1000+ROW())</f>
        <v/>
      </c>
      <c r="AF226" s="59" t="str">
        <f>IF(X226&lt;&gt;"",X226,L226)</f>
        <v/>
      </c>
      <c r="AG226" s="59" t="str">
        <f>IF(X226&lt;&gt;"",Y226,IF(L226&lt;&gt;"",M226,""))</f>
        <v/>
      </c>
      <c r="AH226" s="59" t="str">
        <f>IF(L226="","",IF(X226&lt;&gt;"",U226,F226))</f>
        <v/>
      </c>
      <c r="AI226" s="59" t="str">
        <f>IF(L226="","",IF(X226&lt;&gt;"",V226,H226))</f>
        <v/>
      </c>
    </row>
    <row r="227" ht="30" customHeight="1">
      <c r="A227" s="50" t="n"/>
      <c r="B227" s="51" t="n"/>
      <c r="C227" s="51" t="n"/>
      <c r="D227" s="51" t="n"/>
      <c r="E227" s="51" t="n"/>
      <c r="F227" s="52" t="n"/>
      <c r="G227" s="51" t="n"/>
      <c r="H227" s="52" t="n"/>
      <c r="I227" s="51" t="n"/>
      <c r="J227" s="51" t="n"/>
      <c r="K227" s="52" t="n"/>
      <c r="L227" s="53" t="str">
        <f>IF(AND(IF(ISNUMBER(F227),AND(F227&gt;=1,F227&lt;=10,F227=INT(F227)),FALSE),IF(ISNUMBER(H227),AND(H227&gt;=1,H227&lt;=10,H227=INT(H227)),FALSE),IF(ISNUMBER(K227),AND(K227&gt;=1,K227&lt;=10,K227=INT(K227)),FALSE)),F227*H227*K227,"")</f>
        <v/>
      </c>
      <c r="M227" s="54" t="str">
        <f>IF(L227="",IF(D227="","","À coter"),IF(OR(F227&gt;=p_gmin,L227&gt;=p_ipr_crit),"Critique",IF(L227&gt;=p_ipr_act,"Élevée",IF(L227&gt;=p_ipr_watch,"Moyenne","Faible"))))</f>
        <v/>
      </c>
      <c r="N227" s="54" t="str">
        <f>IF(OR(M227="",M227="À coter"),"",IF(OR(M227="Critique",M227="Élevée"),"Oui","Non"))</f>
        <v/>
      </c>
      <c r="O227" s="51" t="n"/>
      <c r="P227" s="51" t="n"/>
      <c r="Q227" s="55" t="n"/>
      <c r="R227" s="50" t="n"/>
      <c r="S227" s="55" t="n"/>
      <c r="T227" s="56" t="n"/>
      <c r="U227" s="52" t="n"/>
      <c r="V227" s="52" t="n"/>
      <c r="W227" s="52" t="n"/>
      <c r="X227" s="53" t="str">
        <f>IF(AND(L227&lt;&gt;"",IF(ISNUMBER(U227),AND(U227&gt;=1,U227&lt;=10,U227=INT(U227)),FALSE),IF(ISNUMBER(V227),AND(V227&gt;=1,V227&lt;=10,V227=INT(V227)),FALSE),IF(ISNUMBER(W227),AND(W227&gt;=1,W227&lt;=10,W227=INT(W227)),FALSE)),U227*V227*W227,"")</f>
        <v/>
      </c>
      <c r="Y227" s="54" t="str">
        <f>IF(X227="","",IF(OR(U227&gt;=p_gmin,X227&gt;=p_ipr_crit),"Critique",IF(X227&gt;=p_ipr_act,"Élevée",IF(X227&gt;=p_ipr_watch,"Moyenne","Faible"))))</f>
        <v/>
      </c>
      <c r="Z227" s="57" t="str">
        <f>IF(X227="","",(L227-X227)/L227)</f>
        <v/>
      </c>
      <c r="AA227" s="54" t="str">
        <f>IF(AND(D227="",O227=""),"",IF(O227="",IF(N227="Oui","Action à définir",IF(N227="Non","Sans action","")),IF(R227="Annulée","Annulée",IF(R227="Réalisée",IF(X227="","À réévaluer","Réalisée"),IF(N(Q227)=0,"Échéance manquante",IF(Q227&lt;p_today,"En retard",IF(Q227-p_today&lt;=p_alert,"Échéance proche","Dans les délais")))))))</f>
        <v/>
      </c>
      <c r="AB227" s="58" t="str">
        <f>IF(AND(A227="",B227="",D227="",F227="",H227="",K227="",O227=""),"",IF(D227="","Mode de défaillance manquant",IF(AND(A227&lt;&gt;"",COUNTIF(am_num,A227)&gt;1),"N° en double",IF(F227="","Gravité G manquante",IF(NOT(IF(ISNUMBER(F227),AND(F227&gt;=1,F227&lt;=10,F227=INT(F227)),FALSE)),"G : entier de 1 à 10",IF(H227="","Occurrence O manquante",IF(NOT(IF(ISNUMBER(H227),AND(H227&gt;=1,H227&lt;=10,H227=INT(H227)),FALSE)),"O : entier de 1 à 10",IF(K227="","Détection D manquante",IF(NOT(IF(ISNUMBER(K227),AND(K227&gt;=1,K227&lt;=10,K227=INT(K227)),FALSE)),"D : entier de 1 à 10",IF(G227="","Cause manquante",IF(AND(O227&lt;&gt;"",P227=""),"Responsable manquant",IF(AND(R227&lt;&gt;"",O227=""),"Statut sans action",IF(AND(R227="Réalisée",N(S227)=0),"Date de réalisation manquante",IF(AND(T227&lt;&gt;"",IF(ISNUMBER(T227),T227&lt;0,TRUE)),"Coût invalide",IF(AND(COUNTBLANK(U227:W227)&gt;0,COUNTBLANK(U227:W227)&lt;3),"Cotation après action incomplète",IF(AND(COUNTBLANK(U227:W227)=0,X227=""),"G', O', D' : entiers de 1 à 10",IF(AND(X227&lt;&gt;"",X227&gt;L227),"IPR après action plus élevé","OK")))))))))))))))))</f>
        <v/>
      </c>
      <c r="AC227" s="59" t="str">
        <f>IF(OR(AA227="En retard",AA227="Échéance proche",AA227="Dans les délais",AA227="Échéance manquante",AA227="Action à définir",AA227="À réévaluer"),IF(OR(plan_who="",P227=plan_who),IF(N(Q227)&gt;0,Q227,99999)*1000+ROW(),""),"")</f>
        <v/>
      </c>
      <c r="AD227" s="59" t="str">
        <f>IF(L227="","",L227*1000+1000-ROW())</f>
        <v/>
      </c>
      <c r="AE227" s="59" t="str">
        <f>IF(IF(AA227="En retard",1,IF(AA227="Action à définir",2,IF(AA227="Échéance manquante",3,IF(AA227="Échéance proche",4,IF(AA227="À réévaluer",5,0)))))=0,"",IF(AA227="En retard",1,IF(AA227="Action à définir",2,IF(AA227="Échéance manquante",3,IF(AA227="Échéance proche",4,IF(AA227="À réévaluer",5,0)))))*100000000+IF(N(Q227)&gt;0,Q227,99999)*1000+ROW())</f>
        <v/>
      </c>
      <c r="AF227" s="59" t="str">
        <f>IF(X227&lt;&gt;"",X227,L227)</f>
        <v/>
      </c>
      <c r="AG227" s="59" t="str">
        <f>IF(X227&lt;&gt;"",Y227,IF(L227&lt;&gt;"",M227,""))</f>
        <v/>
      </c>
      <c r="AH227" s="59" t="str">
        <f>IF(L227="","",IF(X227&lt;&gt;"",U227,F227))</f>
        <v/>
      </c>
      <c r="AI227" s="59" t="str">
        <f>IF(L227="","",IF(X227&lt;&gt;"",V227,H227))</f>
        <v/>
      </c>
    </row>
    <row r="228" ht="30" customHeight="1">
      <c r="A228" s="50" t="n"/>
      <c r="B228" s="51" t="n"/>
      <c r="C228" s="51" t="n"/>
      <c r="D228" s="51" t="n"/>
      <c r="E228" s="51" t="n"/>
      <c r="F228" s="52" t="n"/>
      <c r="G228" s="51" t="n"/>
      <c r="H228" s="52" t="n"/>
      <c r="I228" s="51" t="n"/>
      <c r="J228" s="51" t="n"/>
      <c r="K228" s="52" t="n"/>
      <c r="L228" s="53" t="str">
        <f>IF(AND(IF(ISNUMBER(F228),AND(F228&gt;=1,F228&lt;=10,F228=INT(F228)),FALSE),IF(ISNUMBER(H228),AND(H228&gt;=1,H228&lt;=10,H228=INT(H228)),FALSE),IF(ISNUMBER(K228),AND(K228&gt;=1,K228&lt;=10,K228=INT(K228)),FALSE)),F228*H228*K228,"")</f>
        <v/>
      </c>
      <c r="M228" s="54" t="str">
        <f>IF(L228="",IF(D228="","","À coter"),IF(OR(F228&gt;=p_gmin,L228&gt;=p_ipr_crit),"Critique",IF(L228&gt;=p_ipr_act,"Élevée",IF(L228&gt;=p_ipr_watch,"Moyenne","Faible"))))</f>
        <v/>
      </c>
      <c r="N228" s="54" t="str">
        <f>IF(OR(M228="",M228="À coter"),"",IF(OR(M228="Critique",M228="Élevée"),"Oui","Non"))</f>
        <v/>
      </c>
      <c r="O228" s="51" t="n"/>
      <c r="P228" s="51" t="n"/>
      <c r="Q228" s="55" t="n"/>
      <c r="R228" s="50" t="n"/>
      <c r="S228" s="55" t="n"/>
      <c r="T228" s="56" t="n"/>
      <c r="U228" s="52" t="n"/>
      <c r="V228" s="52" t="n"/>
      <c r="W228" s="52" t="n"/>
      <c r="X228" s="53" t="str">
        <f>IF(AND(L228&lt;&gt;"",IF(ISNUMBER(U228),AND(U228&gt;=1,U228&lt;=10,U228=INT(U228)),FALSE),IF(ISNUMBER(V228),AND(V228&gt;=1,V228&lt;=10,V228=INT(V228)),FALSE),IF(ISNUMBER(W228),AND(W228&gt;=1,W228&lt;=10,W228=INT(W228)),FALSE)),U228*V228*W228,"")</f>
        <v/>
      </c>
      <c r="Y228" s="54" t="str">
        <f>IF(X228="","",IF(OR(U228&gt;=p_gmin,X228&gt;=p_ipr_crit),"Critique",IF(X228&gt;=p_ipr_act,"Élevée",IF(X228&gt;=p_ipr_watch,"Moyenne","Faible"))))</f>
        <v/>
      </c>
      <c r="Z228" s="57" t="str">
        <f>IF(X228="","",(L228-X228)/L228)</f>
        <v/>
      </c>
      <c r="AA228" s="54" t="str">
        <f>IF(AND(D228="",O228=""),"",IF(O228="",IF(N228="Oui","Action à définir",IF(N228="Non","Sans action","")),IF(R228="Annulée","Annulée",IF(R228="Réalisée",IF(X228="","À réévaluer","Réalisée"),IF(N(Q228)=0,"Échéance manquante",IF(Q228&lt;p_today,"En retard",IF(Q228-p_today&lt;=p_alert,"Échéance proche","Dans les délais")))))))</f>
        <v/>
      </c>
      <c r="AB228" s="58" t="str">
        <f>IF(AND(A228="",B228="",D228="",F228="",H228="",K228="",O228=""),"",IF(D228="","Mode de défaillance manquant",IF(AND(A228&lt;&gt;"",COUNTIF(am_num,A228)&gt;1),"N° en double",IF(F228="","Gravité G manquante",IF(NOT(IF(ISNUMBER(F228),AND(F228&gt;=1,F228&lt;=10,F228=INT(F228)),FALSE)),"G : entier de 1 à 10",IF(H228="","Occurrence O manquante",IF(NOT(IF(ISNUMBER(H228),AND(H228&gt;=1,H228&lt;=10,H228=INT(H228)),FALSE)),"O : entier de 1 à 10",IF(K228="","Détection D manquante",IF(NOT(IF(ISNUMBER(K228),AND(K228&gt;=1,K228&lt;=10,K228=INT(K228)),FALSE)),"D : entier de 1 à 10",IF(G228="","Cause manquante",IF(AND(O228&lt;&gt;"",P228=""),"Responsable manquant",IF(AND(R228&lt;&gt;"",O228=""),"Statut sans action",IF(AND(R228="Réalisée",N(S228)=0),"Date de réalisation manquante",IF(AND(T228&lt;&gt;"",IF(ISNUMBER(T228),T228&lt;0,TRUE)),"Coût invalide",IF(AND(COUNTBLANK(U228:W228)&gt;0,COUNTBLANK(U228:W228)&lt;3),"Cotation après action incomplète",IF(AND(COUNTBLANK(U228:W228)=0,X228=""),"G', O', D' : entiers de 1 à 10",IF(AND(X228&lt;&gt;"",X228&gt;L228),"IPR après action plus élevé","OK")))))))))))))))))</f>
        <v/>
      </c>
      <c r="AC228" s="59" t="str">
        <f>IF(OR(AA228="En retard",AA228="Échéance proche",AA228="Dans les délais",AA228="Échéance manquante",AA228="Action à définir",AA228="À réévaluer"),IF(OR(plan_who="",P228=plan_who),IF(N(Q228)&gt;0,Q228,99999)*1000+ROW(),""),"")</f>
        <v/>
      </c>
      <c r="AD228" s="59" t="str">
        <f>IF(L228="","",L228*1000+1000-ROW())</f>
        <v/>
      </c>
      <c r="AE228" s="59" t="str">
        <f>IF(IF(AA228="En retard",1,IF(AA228="Action à définir",2,IF(AA228="Échéance manquante",3,IF(AA228="Échéance proche",4,IF(AA228="À réévaluer",5,0)))))=0,"",IF(AA228="En retard",1,IF(AA228="Action à définir",2,IF(AA228="Échéance manquante",3,IF(AA228="Échéance proche",4,IF(AA228="À réévaluer",5,0)))))*100000000+IF(N(Q228)&gt;0,Q228,99999)*1000+ROW())</f>
        <v/>
      </c>
      <c r="AF228" s="59" t="str">
        <f>IF(X228&lt;&gt;"",X228,L228)</f>
        <v/>
      </c>
      <c r="AG228" s="59" t="str">
        <f>IF(X228&lt;&gt;"",Y228,IF(L228&lt;&gt;"",M228,""))</f>
        <v/>
      </c>
      <c r="AH228" s="59" t="str">
        <f>IF(L228="","",IF(X228&lt;&gt;"",U228,F228))</f>
        <v/>
      </c>
      <c r="AI228" s="59" t="str">
        <f>IF(L228="","",IF(X228&lt;&gt;"",V228,H228))</f>
        <v/>
      </c>
    </row>
    <row r="229" ht="30" customHeight="1">
      <c r="A229" s="50" t="n"/>
      <c r="B229" s="51" t="n"/>
      <c r="C229" s="51" t="n"/>
      <c r="D229" s="51" t="n"/>
      <c r="E229" s="51" t="n"/>
      <c r="F229" s="52" t="n"/>
      <c r="G229" s="51" t="n"/>
      <c r="H229" s="52" t="n"/>
      <c r="I229" s="51" t="n"/>
      <c r="J229" s="51" t="n"/>
      <c r="K229" s="52" t="n"/>
      <c r="L229" s="53" t="str">
        <f>IF(AND(IF(ISNUMBER(F229),AND(F229&gt;=1,F229&lt;=10,F229=INT(F229)),FALSE),IF(ISNUMBER(H229),AND(H229&gt;=1,H229&lt;=10,H229=INT(H229)),FALSE),IF(ISNUMBER(K229),AND(K229&gt;=1,K229&lt;=10,K229=INT(K229)),FALSE)),F229*H229*K229,"")</f>
        <v/>
      </c>
      <c r="M229" s="54" t="str">
        <f>IF(L229="",IF(D229="","","À coter"),IF(OR(F229&gt;=p_gmin,L229&gt;=p_ipr_crit),"Critique",IF(L229&gt;=p_ipr_act,"Élevée",IF(L229&gt;=p_ipr_watch,"Moyenne","Faible"))))</f>
        <v/>
      </c>
      <c r="N229" s="54" t="str">
        <f>IF(OR(M229="",M229="À coter"),"",IF(OR(M229="Critique",M229="Élevée"),"Oui","Non"))</f>
        <v/>
      </c>
      <c r="O229" s="51" t="n"/>
      <c r="P229" s="51" t="n"/>
      <c r="Q229" s="55" t="n"/>
      <c r="R229" s="50" t="n"/>
      <c r="S229" s="55" t="n"/>
      <c r="T229" s="56" t="n"/>
      <c r="U229" s="52" t="n"/>
      <c r="V229" s="52" t="n"/>
      <c r="W229" s="52" t="n"/>
      <c r="X229" s="53" t="str">
        <f>IF(AND(L229&lt;&gt;"",IF(ISNUMBER(U229),AND(U229&gt;=1,U229&lt;=10,U229=INT(U229)),FALSE),IF(ISNUMBER(V229),AND(V229&gt;=1,V229&lt;=10,V229=INT(V229)),FALSE),IF(ISNUMBER(W229),AND(W229&gt;=1,W229&lt;=10,W229=INT(W229)),FALSE)),U229*V229*W229,"")</f>
        <v/>
      </c>
      <c r="Y229" s="54" t="str">
        <f>IF(X229="","",IF(OR(U229&gt;=p_gmin,X229&gt;=p_ipr_crit),"Critique",IF(X229&gt;=p_ipr_act,"Élevée",IF(X229&gt;=p_ipr_watch,"Moyenne","Faible"))))</f>
        <v/>
      </c>
      <c r="Z229" s="57" t="str">
        <f>IF(X229="","",(L229-X229)/L229)</f>
        <v/>
      </c>
      <c r="AA229" s="54" t="str">
        <f>IF(AND(D229="",O229=""),"",IF(O229="",IF(N229="Oui","Action à définir",IF(N229="Non","Sans action","")),IF(R229="Annulée","Annulée",IF(R229="Réalisée",IF(X229="","À réévaluer","Réalisée"),IF(N(Q229)=0,"Échéance manquante",IF(Q229&lt;p_today,"En retard",IF(Q229-p_today&lt;=p_alert,"Échéance proche","Dans les délais")))))))</f>
        <v/>
      </c>
      <c r="AB229" s="58" t="str">
        <f>IF(AND(A229="",B229="",D229="",F229="",H229="",K229="",O229=""),"",IF(D229="","Mode de défaillance manquant",IF(AND(A229&lt;&gt;"",COUNTIF(am_num,A229)&gt;1),"N° en double",IF(F229="","Gravité G manquante",IF(NOT(IF(ISNUMBER(F229),AND(F229&gt;=1,F229&lt;=10,F229=INT(F229)),FALSE)),"G : entier de 1 à 10",IF(H229="","Occurrence O manquante",IF(NOT(IF(ISNUMBER(H229),AND(H229&gt;=1,H229&lt;=10,H229=INT(H229)),FALSE)),"O : entier de 1 à 10",IF(K229="","Détection D manquante",IF(NOT(IF(ISNUMBER(K229),AND(K229&gt;=1,K229&lt;=10,K229=INT(K229)),FALSE)),"D : entier de 1 à 10",IF(G229="","Cause manquante",IF(AND(O229&lt;&gt;"",P229=""),"Responsable manquant",IF(AND(R229&lt;&gt;"",O229=""),"Statut sans action",IF(AND(R229="Réalisée",N(S229)=0),"Date de réalisation manquante",IF(AND(T229&lt;&gt;"",IF(ISNUMBER(T229),T229&lt;0,TRUE)),"Coût invalide",IF(AND(COUNTBLANK(U229:W229)&gt;0,COUNTBLANK(U229:W229)&lt;3),"Cotation après action incomplète",IF(AND(COUNTBLANK(U229:W229)=0,X229=""),"G', O', D' : entiers de 1 à 10",IF(AND(X229&lt;&gt;"",X229&gt;L229),"IPR après action plus élevé","OK")))))))))))))))))</f>
        <v/>
      </c>
      <c r="AC229" s="59" t="str">
        <f>IF(OR(AA229="En retard",AA229="Échéance proche",AA229="Dans les délais",AA229="Échéance manquante",AA229="Action à définir",AA229="À réévaluer"),IF(OR(plan_who="",P229=plan_who),IF(N(Q229)&gt;0,Q229,99999)*1000+ROW(),""),"")</f>
        <v/>
      </c>
      <c r="AD229" s="59" t="str">
        <f>IF(L229="","",L229*1000+1000-ROW())</f>
        <v/>
      </c>
      <c r="AE229" s="59" t="str">
        <f>IF(IF(AA229="En retard",1,IF(AA229="Action à définir",2,IF(AA229="Échéance manquante",3,IF(AA229="Échéance proche",4,IF(AA229="À réévaluer",5,0)))))=0,"",IF(AA229="En retard",1,IF(AA229="Action à définir",2,IF(AA229="Échéance manquante",3,IF(AA229="Échéance proche",4,IF(AA229="À réévaluer",5,0)))))*100000000+IF(N(Q229)&gt;0,Q229,99999)*1000+ROW())</f>
        <v/>
      </c>
      <c r="AF229" s="59" t="str">
        <f>IF(X229&lt;&gt;"",X229,L229)</f>
        <v/>
      </c>
      <c r="AG229" s="59" t="str">
        <f>IF(X229&lt;&gt;"",Y229,IF(L229&lt;&gt;"",M229,""))</f>
        <v/>
      </c>
      <c r="AH229" s="59" t="str">
        <f>IF(L229="","",IF(X229&lt;&gt;"",U229,F229))</f>
        <v/>
      </c>
      <c r="AI229" s="59" t="str">
        <f>IF(L229="","",IF(X229&lt;&gt;"",V229,H229))</f>
        <v/>
      </c>
    </row>
    <row r="230" ht="30" customHeight="1">
      <c r="A230" s="50" t="n"/>
      <c r="B230" s="51" t="n"/>
      <c r="C230" s="51" t="n"/>
      <c r="D230" s="51" t="n"/>
      <c r="E230" s="51" t="n"/>
      <c r="F230" s="52" t="n"/>
      <c r="G230" s="51" t="n"/>
      <c r="H230" s="52" t="n"/>
      <c r="I230" s="51" t="n"/>
      <c r="J230" s="51" t="n"/>
      <c r="K230" s="52" t="n"/>
      <c r="L230" s="53" t="str">
        <f>IF(AND(IF(ISNUMBER(F230),AND(F230&gt;=1,F230&lt;=10,F230=INT(F230)),FALSE),IF(ISNUMBER(H230),AND(H230&gt;=1,H230&lt;=10,H230=INT(H230)),FALSE),IF(ISNUMBER(K230),AND(K230&gt;=1,K230&lt;=10,K230=INT(K230)),FALSE)),F230*H230*K230,"")</f>
        <v/>
      </c>
      <c r="M230" s="54" t="str">
        <f>IF(L230="",IF(D230="","","À coter"),IF(OR(F230&gt;=p_gmin,L230&gt;=p_ipr_crit),"Critique",IF(L230&gt;=p_ipr_act,"Élevée",IF(L230&gt;=p_ipr_watch,"Moyenne","Faible"))))</f>
        <v/>
      </c>
      <c r="N230" s="54" t="str">
        <f>IF(OR(M230="",M230="À coter"),"",IF(OR(M230="Critique",M230="Élevée"),"Oui","Non"))</f>
        <v/>
      </c>
      <c r="O230" s="51" t="n"/>
      <c r="P230" s="51" t="n"/>
      <c r="Q230" s="55" t="n"/>
      <c r="R230" s="50" t="n"/>
      <c r="S230" s="55" t="n"/>
      <c r="T230" s="56" t="n"/>
      <c r="U230" s="52" t="n"/>
      <c r="V230" s="52" t="n"/>
      <c r="W230" s="52" t="n"/>
      <c r="X230" s="53" t="str">
        <f>IF(AND(L230&lt;&gt;"",IF(ISNUMBER(U230),AND(U230&gt;=1,U230&lt;=10,U230=INT(U230)),FALSE),IF(ISNUMBER(V230),AND(V230&gt;=1,V230&lt;=10,V230=INT(V230)),FALSE),IF(ISNUMBER(W230),AND(W230&gt;=1,W230&lt;=10,W230=INT(W230)),FALSE)),U230*V230*W230,"")</f>
        <v/>
      </c>
      <c r="Y230" s="54" t="str">
        <f>IF(X230="","",IF(OR(U230&gt;=p_gmin,X230&gt;=p_ipr_crit),"Critique",IF(X230&gt;=p_ipr_act,"Élevée",IF(X230&gt;=p_ipr_watch,"Moyenne","Faible"))))</f>
        <v/>
      </c>
      <c r="Z230" s="57" t="str">
        <f>IF(X230="","",(L230-X230)/L230)</f>
        <v/>
      </c>
      <c r="AA230" s="54" t="str">
        <f>IF(AND(D230="",O230=""),"",IF(O230="",IF(N230="Oui","Action à définir",IF(N230="Non","Sans action","")),IF(R230="Annulée","Annulée",IF(R230="Réalisée",IF(X230="","À réévaluer","Réalisée"),IF(N(Q230)=0,"Échéance manquante",IF(Q230&lt;p_today,"En retard",IF(Q230-p_today&lt;=p_alert,"Échéance proche","Dans les délais")))))))</f>
        <v/>
      </c>
      <c r="AB230" s="58" t="str">
        <f>IF(AND(A230="",B230="",D230="",F230="",H230="",K230="",O230=""),"",IF(D230="","Mode de défaillance manquant",IF(AND(A230&lt;&gt;"",COUNTIF(am_num,A230)&gt;1),"N° en double",IF(F230="","Gravité G manquante",IF(NOT(IF(ISNUMBER(F230),AND(F230&gt;=1,F230&lt;=10,F230=INT(F230)),FALSE)),"G : entier de 1 à 10",IF(H230="","Occurrence O manquante",IF(NOT(IF(ISNUMBER(H230),AND(H230&gt;=1,H230&lt;=10,H230=INT(H230)),FALSE)),"O : entier de 1 à 10",IF(K230="","Détection D manquante",IF(NOT(IF(ISNUMBER(K230),AND(K230&gt;=1,K230&lt;=10,K230=INT(K230)),FALSE)),"D : entier de 1 à 10",IF(G230="","Cause manquante",IF(AND(O230&lt;&gt;"",P230=""),"Responsable manquant",IF(AND(R230&lt;&gt;"",O230=""),"Statut sans action",IF(AND(R230="Réalisée",N(S230)=0),"Date de réalisation manquante",IF(AND(T230&lt;&gt;"",IF(ISNUMBER(T230),T230&lt;0,TRUE)),"Coût invalide",IF(AND(COUNTBLANK(U230:W230)&gt;0,COUNTBLANK(U230:W230)&lt;3),"Cotation après action incomplète",IF(AND(COUNTBLANK(U230:W230)=0,X230=""),"G', O', D' : entiers de 1 à 10",IF(AND(X230&lt;&gt;"",X230&gt;L230),"IPR après action plus élevé","OK")))))))))))))))))</f>
        <v/>
      </c>
      <c r="AC230" s="59" t="str">
        <f>IF(OR(AA230="En retard",AA230="Échéance proche",AA230="Dans les délais",AA230="Échéance manquante",AA230="Action à définir",AA230="À réévaluer"),IF(OR(plan_who="",P230=plan_who),IF(N(Q230)&gt;0,Q230,99999)*1000+ROW(),""),"")</f>
        <v/>
      </c>
      <c r="AD230" s="59" t="str">
        <f>IF(L230="","",L230*1000+1000-ROW())</f>
        <v/>
      </c>
      <c r="AE230" s="59" t="str">
        <f>IF(IF(AA230="En retard",1,IF(AA230="Action à définir",2,IF(AA230="Échéance manquante",3,IF(AA230="Échéance proche",4,IF(AA230="À réévaluer",5,0)))))=0,"",IF(AA230="En retard",1,IF(AA230="Action à définir",2,IF(AA230="Échéance manquante",3,IF(AA230="Échéance proche",4,IF(AA230="À réévaluer",5,0)))))*100000000+IF(N(Q230)&gt;0,Q230,99999)*1000+ROW())</f>
        <v/>
      </c>
      <c r="AF230" s="59" t="str">
        <f>IF(X230&lt;&gt;"",X230,L230)</f>
        <v/>
      </c>
      <c r="AG230" s="59" t="str">
        <f>IF(X230&lt;&gt;"",Y230,IF(L230&lt;&gt;"",M230,""))</f>
        <v/>
      </c>
      <c r="AH230" s="59" t="str">
        <f>IF(L230="","",IF(X230&lt;&gt;"",U230,F230))</f>
        <v/>
      </c>
      <c r="AI230" s="59" t="str">
        <f>IF(L230="","",IF(X230&lt;&gt;"",V230,H230))</f>
        <v/>
      </c>
    </row>
    <row r="231" ht="30" customHeight="1">
      <c r="A231" s="50" t="n"/>
      <c r="B231" s="51" t="n"/>
      <c r="C231" s="51" t="n"/>
      <c r="D231" s="51" t="n"/>
      <c r="E231" s="51" t="n"/>
      <c r="F231" s="52" t="n"/>
      <c r="G231" s="51" t="n"/>
      <c r="H231" s="52" t="n"/>
      <c r="I231" s="51" t="n"/>
      <c r="J231" s="51" t="n"/>
      <c r="K231" s="52" t="n"/>
      <c r="L231" s="53" t="str">
        <f>IF(AND(IF(ISNUMBER(F231),AND(F231&gt;=1,F231&lt;=10,F231=INT(F231)),FALSE),IF(ISNUMBER(H231),AND(H231&gt;=1,H231&lt;=10,H231=INT(H231)),FALSE),IF(ISNUMBER(K231),AND(K231&gt;=1,K231&lt;=10,K231=INT(K231)),FALSE)),F231*H231*K231,"")</f>
        <v/>
      </c>
      <c r="M231" s="54" t="str">
        <f>IF(L231="",IF(D231="","","À coter"),IF(OR(F231&gt;=p_gmin,L231&gt;=p_ipr_crit),"Critique",IF(L231&gt;=p_ipr_act,"Élevée",IF(L231&gt;=p_ipr_watch,"Moyenne","Faible"))))</f>
        <v/>
      </c>
      <c r="N231" s="54" t="str">
        <f>IF(OR(M231="",M231="À coter"),"",IF(OR(M231="Critique",M231="Élevée"),"Oui","Non"))</f>
        <v/>
      </c>
      <c r="O231" s="51" t="n"/>
      <c r="P231" s="51" t="n"/>
      <c r="Q231" s="55" t="n"/>
      <c r="R231" s="50" t="n"/>
      <c r="S231" s="55" t="n"/>
      <c r="T231" s="56" t="n"/>
      <c r="U231" s="52" t="n"/>
      <c r="V231" s="52" t="n"/>
      <c r="W231" s="52" t="n"/>
      <c r="X231" s="53" t="str">
        <f>IF(AND(L231&lt;&gt;"",IF(ISNUMBER(U231),AND(U231&gt;=1,U231&lt;=10,U231=INT(U231)),FALSE),IF(ISNUMBER(V231),AND(V231&gt;=1,V231&lt;=10,V231=INT(V231)),FALSE),IF(ISNUMBER(W231),AND(W231&gt;=1,W231&lt;=10,W231=INT(W231)),FALSE)),U231*V231*W231,"")</f>
        <v/>
      </c>
      <c r="Y231" s="54" t="str">
        <f>IF(X231="","",IF(OR(U231&gt;=p_gmin,X231&gt;=p_ipr_crit),"Critique",IF(X231&gt;=p_ipr_act,"Élevée",IF(X231&gt;=p_ipr_watch,"Moyenne","Faible"))))</f>
        <v/>
      </c>
      <c r="Z231" s="57" t="str">
        <f>IF(X231="","",(L231-X231)/L231)</f>
        <v/>
      </c>
      <c r="AA231" s="54" t="str">
        <f>IF(AND(D231="",O231=""),"",IF(O231="",IF(N231="Oui","Action à définir",IF(N231="Non","Sans action","")),IF(R231="Annulée","Annulée",IF(R231="Réalisée",IF(X231="","À réévaluer","Réalisée"),IF(N(Q231)=0,"Échéance manquante",IF(Q231&lt;p_today,"En retard",IF(Q231-p_today&lt;=p_alert,"Échéance proche","Dans les délais")))))))</f>
        <v/>
      </c>
      <c r="AB231" s="58" t="str">
        <f>IF(AND(A231="",B231="",D231="",F231="",H231="",K231="",O231=""),"",IF(D231="","Mode de défaillance manquant",IF(AND(A231&lt;&gt;"",COUNTIF(am_num,A231)&gt;1),"N° en double",IF(F231="","Gravité G manquante",IF(NOT(IF(ISNUMBER(F231),AND(F231&gt;=1,F231&lt;=10,F231=INT(F231)),FALSE)),"G : entier de 1 à 10",IF(H231="","Occurrence O manquante",IF(NOT(IF(ISNUMBER(H231),AND(H231&gt;=1,H231&lt;=10,H231=INT(H231)),FALSE)),"O : entier de 1 à 10",IF(K231="","Détection D manquante",IF(NOT(IF(ISNUMBER(K231),AND(K231&gt;=1,K231&lt;=10,K231=INT(K231)),FALSE)),"D : entier de 1 à 10",IF(G231="","Cause manquante",IF(AND(O231&lt;&gt;"",P231=""),"Responsable manquant",IF(AND(R231&lt;&gt;"",O231=""),"Statut sans action",IF(AND(R231="Réalisée",N(S231)=0),"Date de réalisation manquante",IF(AND(T231&lt;&gt;"",IF(ISNUMBER(T231),T231&lt;0,TRUE)),"Coût invalide",IF(AND(COUNTBLANK(U231:W231)&gt;0,COUNTBLANK(U231:W231)&lt;3),"Cotation après action incomplète",IF(AND(COUNTBLANK(U231:W231)=0,X231=""),"G', O', D' : entiers de 1 à 10",IF(AND(X231&lt;&gt;"",X231&gt;L231),"IPR après action plus élevé","OK")))))))))))))))))</f>
        <v/>
      </c>
      <c r="AC231" s="59" t="str">
        <f>IF(OR(AA231="En retard",AA231="Échéance proche",AA231="Dans les délais",AA231="Échéance manquante",AA231="Action à définir",AA231="À réévaluer"),IF(OR(plan_who="",P231=plan_who),IF(N(Q231)&gt;0,Q231,99999)*1000+ROW(),""),"")</f>
        <v/>
      </c>
      <c r="AD231" s="59" t="str">
        <f>IF(L231="","",L231*1000+1000-ROW())</f>
        <v/>
      </c>
      <c r="AE231" s="59" t="str">
        <f>IF(IF(AA231="En retard",1,IF(AA231="Action à définir",2,IF(AA231="Échéance manquante",3,IF(AA231="Échéance proche",4,IF(AA231="À réévaluer",5,0)))))=0,"",IF(AA231="En retard",1,IF(AA231="Action à définir",2,IF(AA231="Échéance manquante",3,IF(AA231="Échéance proche",4,IF(AA231="À réévaluer",5,0)))))*100000000+IF(N(Q231)&gt;0,Q231,99999)*1000+ROW())</f>
        <v/>
      </c>
      <c r="AF231" s="59" t="str">
        <f>IF(X231&lt;&gt;"",X231,L231)</f>
        <v/>
      </c>
      <c r="AG231" s="59" t="str">
        <f>IF(X231&lt;&gt;"",Y231,IF(L231&lt;&gt;"",M231,""))</f>
        <v/>
      </c>
      <c r="AH231" s="59" t="str">
        <f>IF(L231="","",IF(X231&lt;&gt;"",U231,F231))</f>
        <v/>
      </c>
      <c r="AI231" s="59" t="str">
        <f>IF(L231="","",IF(X231&lt;&gt;"",V231,H231))</f>
        <v/>
      </c>
    </row>
    <row r="232" ht="30" customHeight="1">
      <c r="A232" s="50" t="n"/>
      <c r="B232" s="51" t="n"/>
      <c r="C232" s="51" t="n"/>
      <c r="D232" s="51" t="n"/>
      <c r="E232" s="51" t="n"/>
      <c r="F232" s="52" t="n"/>
      <c r="G232" s="51" t="n"/>
      <c r="H232" s="52" t="n"/>
      <c r="I232" s="51" t="n"/>
      <c r="J232" s="51" t="n"/>
      <c r="K232" s="52" t="n"/>
      <c r="L232" s="53" t="str">
        <f>IF(AND(IF(ISNUMBER(F232),AND(F232&gt;=1,F232&lt;=10,F232=INT(F232)),FALSE),IF(ISNUMBER(H232),AND(H232&gt;=1,H232&lt;=10,H232=INT(H232)),FALSE),IF(ISNUMBER(K232),AND(K232&gt;=1,K232&lt;=10,K232=INT(K232)),FALSE)),F232*H232*K232,"")</f>
        <v/>
      </c>
      <c r="M232" s="54" t="str">
        <f>IF(L232="",IF(D232="","","À coter"),IF(OR(F232&gt;=p_gmin,L232&gt;=p_ipr_crit),"Critique",IF(L232&gt;=p_ipr_act,"Élevée",IF(L232&gt;=p_ipr_watch,"Moyenne","Faible"))))</f>
        <v/>
      </c>
      <c r="N232" s="54" t="str">
        <f>IF(OR(M232="",M232="À coter"),"",IF(OR(M232="Critique",M232="Élevée"),"Oui","Non"))</f>
        <v/>
      </c>
      <c r="O232" s="51" t="n"/>
      <c r="P232" s="51" t="n"/>
      <c r="Q232" s="55" t="n"/>
      <c r="R232" s="50" t="n"/>
      <c r="S232" s="55" t="n"/>
      <c r="T232" s="56" t="n"/>
      <c r="U232" s="52" t="n"/>
      <c r="V232" s="52" t="n"/>
      <c r="W232" s="52" t="n"/>
      <c r="X232" s="53" t="str">
        <f>IF(AND(L232&lt;&gt;"",IF(ISNUMBER(U232),AND(U232&gt;=1,U232&lt;=10,U232=INT(U232)),FALSE),IF(ISNUMBER(V232),AND(V232&gt;=1,V232&lt;=10,V232=INT(V232)),FALSE),IF(ISNUMBER(W232),AND(W232&gt;=1,W232&lt;=10,W232=INT(W232)),FALSE)),U232*V232*W232,"")</f>
        <v/>
      </c>
      <c r="Y232" s="54" t="str">
        <f>IF(X232="","",IF(OR(U232&gt;=p_gmin,X232&gt;=p_ipr_crit),"Critique",IF(X232&gt;=p_ipr_act,"Élevée",IF(X232&gt;=p_ipr_watch,"Moyenne","Faible"))))</f>
        <v/>
      </c>
      <c r="Z232" s="57" t="str">
        <f>IF(X232="","",(L232-X232)/L232)</f>
        <v/>
      </c>
      <c r="AA232" s="54" t="str">
        <f>IF(AND(D232="",O232=""),"",IF(O232="",IF(N232="Oui","Action à définir",IF(N232="Non","Sans action","")),IF(R232="Annulée","Annulée",IF(R232="Réalisée",IF(X232="","À réévaluer","Réalisée"),IF(N(Q232)=0,"Échéance manquante",IF(Q232&lt;p_today,"En retard",IF(Q232-p_today&lt;=p_alert,"Échéance proche","Dans les délais")))))))</f>
        <v/>
      </c>
      <c r="AB232" s="58" t="str">
        <f>IF(AND(A232="",B232="",D232="",F232="",H232="",K232="",O232=""),"",IF(D232="","Mode de défaillance manquant",IF(AND(A232&lt;&gt;"",COUNTIF(am_num,A232)&gt;1),"N° en double",IF(F232="","Gravité G manquante",IF(NOT(IF(ISNUMBER(F232),AND(F232&gt;=1,F232&lt;=10,F232=INT(F232)),FALSE)),"G : entier de 1 à 10",IF(H232="","Occurrence O manquante",IF(NOT(IF(ISNUMBER(H232),AND(H232&gt;=1,H232&lt;=10,H232=INT(H232)),FALSE)),"O : entier de 1 à 10",IF(K232="","Détection D manquante",IF(NOT(IF(ISNUMBER(K232),AND(K232&gt;=1,K232&lt;=10,K232=INT(K232)),FALSE)),"D : entier de 1 à 10",IF(G232="","Cause manquante",IF(AND(O232&lt;&gt;"",P232=""),"Responsable manquant",IF(AND(R232&lt;&gt;"",O232=""),"Statut sans action",IF(AND(R232="Réalisée",N(S232)=0),"Date de réalisation manquante",IF(AND(T232&lt;&gt;"",IF(ISNUMBER(T232),T232&lt;0,TRUE)),"Coût invalide",IF(AND(COUNTBLANK(U232:W232)&gt;0,COUNTBLANK(U232:W232)&lt;3),"Cotation après action incomplète",IF(AND(COUNTBLANK(U232:W232)=0,X232=""),"G', O', D' : entiers de 1 à 10",IF(AND(X232&lt;&gt;"",X232&gt;L232),"IPR après action plus élevé","OK")))))))))))))))))</f>
        <v/>
      </c>
      <c r="AC232" s="59" t="str">
        <f>IF(OR(AA232="En retard",AA232="Échéance proche",AA232="Dans les délais",AA232="Échéance manquante",AA232="Action à définir",AA232="À réévaluer"),IF(OR(plan_who="",P232=plan_who),IF(N(Q232)&gt;0,Q232,99999)*1000+ROW(),""),"")</f>
        <v/>
      </c>
      <c r="AD232" s="59" t="str">
        <f>IF(L232="","",L232*1000+1000-ROW())</f>
        <v/>
      </c>
      <c r="AE232" s="59" t="str">
        <f>IF(IF(AA232="En retard",1,IF(AA232="Action à définir",2,IF(AA232="Échéance manquante",3,IF(AA232="Échéance proche",4,IF(AA232="À réévaluer",5,0)))))=0,"",IF(AA232="En retard",1,IF(AA232="Action à définir",2,IF(AA232="Échéance manquante",3,IF(AA232="Échéance proche",4,IF(AA232="À réévaluer",5,0)))))*100000000+IF(N(Q232)&gt;0,Q232,99999)*1000+ROW())</f>
        <v/>
      </c>
      <c r="AF232" s="59" t="str">
        <f>IF(X232&lt;&gt;"",X232,L232)</f>
        <v/>
      </c>
      <c r="AG232" s="59" t="str">
        <f>IF(X232&lt;&gt;"",Y232,IF(L232&lt;&gt;"",M232,""))</f>
        <v/>
      </c>
      <c r="AH232" s="59" t="str">
        <f>IF(L232="","",IF(X232&lt;&gt;"",U232,F232))</f>
        <v/>
      </c>
      <c r="AI232" s="59" t="str">
        <f>IF(L232="","",IF(X232&lt;&gt;"",V232,H232))</f>
        <v/>
      </c>
    </row>
    <row r="233" ht="30" customHeight="1">
      <c r="A233" s="50" t="n"/>
      <c r="B233" s="51" t="n"/>
      <c r="C233" s="51" t="n"/>
      <c r="D233" s="51" t="n"/>
      <c r="E233" s="51" t="n"/>
      <c r="F233" s="52" t="n"/>
      <c r="G233" s="51" t="n"/>
      <c r="H233" s="52" t="n"/>
      <c r="I233" s="51" t="n"/>
      <c r="J233" s="51" t="n"/>
      <c r="K233" s="52" t="n"/>
      <c r="L233" s="53" t="str">
        <f>IF(AND(IF(ISNUMBER(F233),AND(F233&gt;=1,F233&lt;=10,F233=INT(F233)),FALSE),IF(ISNUMBER(H233),AND(H233&gt;=1,H233&lt;=10,H233=INT(H233)),FALSE),IF(ISNUMBER(K233),AND(K233&gt;=1,K233&lt;=10,K233=INT(K233)),FALSE)),F233*H233*K233,"")</f>
        <v/>
      </c>
      <c r="M233" s="54" t="str">
        <f>IF(L233="",IF(D233="","","À coter"),IF(OR(F233&gt;=p_gmin,L233&gt;=p_ipr_crit),"Critique",IF(L233&gt;=p_ipr_act,"Élevée",IF(L233&gt;=p_ipr_watch,"Moyenne","Faible"))))</f>
        <v/>
      </c>
      <c r="N233" s="54" t="str">
        <f>IF(OR(M233="",M233="À coter"),"",IF(OR(M233="Critique",M233="Élevée"),"Oui","Non"))</f>
        <v/>
      </c>
      <c r="O233" s="51" t="n"/>
      <c r="P233" s="51" t="n"/>
      <c r="Q233" s="55" t="n"/>
      <c r="R233" s="50" t="n"/>
      <c r="S233" s="55" t="n"/>
      <c r="T233" s="56" t="n"/>
      <c r="U233" s="52" t="n"/>
      <c r="V233" s="52" t="n"/>
      <c r="W233" s="52" t="n"/>
      <c r="X233" s="53" t="str">
        <f>IF(AND(L233&lt;&gt;"",IF(ISNUMBER(U233),AND(U233&gt;=1,U233&lt;=10,U233=INT(U233)),FALSE),IF(ISNUMBER(V233),AND(V233&gt;=1,V233&lt;=10,V233=INT(V233)),FALSE),IF(ISNUMBER(W233),AND(W233&gt;=1,W233&lt;=10,W233=INT(W233)),FALSE)),U233*V233*W233,"")</f>
        <v/>
      </c>
      <c r="Y233" s="54" t="str">
        <f>IF(X233="","",IF(OR(U233&gt;=p_gmin,X233&gt;=p_ipr_crit),"Critique",IF(X233&gt;=p_ipr_act,"Élevée",IF(X233&gt;=p_ipr_watch,"Moyenne","Faible"))))</f>
        <v/>
      </c>
      <c r="Z233" s="57" t="str">
        <f>IF(X233="","",(L233-X233)/L233)</f>
        <v/>
      </c>
      <c r="AA233" s="54" t="str">
        <f>IF(AND(D233="",O233=""),"",IF(O233="",IF(N233="Oui","Action à définir",IF(N233="Non","Sans action","")),IF(R233="Annulée","Annulée",IF(R233="Réalisée",IF(X233="","À réévaluer","Réalisée"),IF(N(Q233)=0,"Échéance manquante",IF(Q233&lt;p_today,"En retard",IF(Q233-p_today&lt;=p_alert,"Échéance proche","Dans les délais")))))))</f>
        <v/>
      </c>
      <c r="AB233" s="58" t="str">
        <f>IF(AND(A233="",B233="",D233="",F233="",H233="",K233="",O233=""),"",IF(D233="","Mode de défaillance manquant",IF(AND(A233&lt;&gt;"",COUNTIF(am_num,A233)&gt;1),"N° en double",IF(F233="","Gravité G manquante",IF(NOT(IF(ISNUMBER(F233),AND(F233&gt;=1,F233&lt;=10,F233=INT(F233)),FALSE)),"G : entier de 1 à 10",IF(H233="","Occurrence O manquante",IF(NOT(IF(ISNUMBER(H233),AND(H233&gt;=1,H233&lt;=10,H233=INT(H233)),FALSE)),"O : entier de 1 à 10",IF(K233="","Détection D manquante",IF(NOT(IF(ISNUMBER(K233),AND(K233&gt;=1,K233&lt;=10,K233=INT(K233)),FALSE)),"D : entier de 1 à 10",IF(G233="","Cause manquante",IF(AND(O233&lt;&gt;"",P233=""),"Responsable manquant",IF(AND(R233&lt;&gt;"",O233=""),"Statut sans action",IF(AND(R233="Réalisée",N(S233)=0),"Date de réalisation manquante",IF(AND(T233&lt;&gt;"",IF(ISNUMBER(T233),T233&lt;0,TRUE)),"Coût invalide",IF(AND(COUNTBLANK(U233:W233)&gt;0,COUNTBLANK(U233:W233)&lt;3),"Cotation après action incomplète",IF(AND(COUNTBLANK(U233:W233)=0,X233=""),"G', O', D' : entiers de 1 à 10",IF(AND(X233&lt;&gt;"",X233&gt;L233),"IPR après action plus élevé","OK")))))))))))))))))</f>
        <v/>
      </c>
      <c r="AC233" s="59" t="str">
        <f>IF(OR(AA233="En retard",AA233="Échéance proche",AA233="Dans les délais",AA233="Échéance manquante",AA233="Action à définir",AA233="À réévaluer"),IF(OR(plan_who="",P233=plan_who),IF(N(Q233)&gt;0,Q233,99999)*1000+ROW(),""),"")</f>
        <v/>
      </c>
      <c r="AD233" s="59" t="str">
        <f>IF(L233="","",L233*1000+1000-ROW())</f>
        <v/>
      </c>
      <c r="AE233" s="59" t="str">
        <f>IF(IF(AA233="En retard",1,IF(AA233="Action à définir",2,IF(AA233="Échéance manquante",3,IF(AA233="Échéance proche",4,IF(AA233="À réévaluer",5,0)))))=0,"",IF(AA233="En retard",1,IF(AA233="Action à définir",2,IF(AA233="Échéance manquante",3,IF(AA233="Échéance proche",4,IF(AA233="À réévaluer",5,0)))))*100000000+IF(N(Q233)&gt;0,Q233,99999)*1000+ROW())</f>
        <v/>
      </c>
      <c r="AF233" s="59" t="str">
        <f>IF(X233&lt;&gt;"",X233,L233)</f>
        <v/>
      </c>
      <c r="AG233" s="59" t="str">
        <f>IF(X233&lt;&gt;"",Y233,IF(L233&lt;&gt;"",M233,""))</f>
        <v/>
      </c>
      <c r="AH233" s="59" t="str">
        <f>IF(L233="","",IF(X233&lt;&gt;"",U233,F233))</f>
        <v/>
      </c>
      <c r="AI233" s="59" t="str">
        <f>IF(L233="","",IF(X233&lt;&gt;"",V233,H233))</f>
        <v/>
      </c>
    </row>
    <row r="234" ht="30" customHeight="1">
      <c r="A234" s="50" t="n"/>
      <c r="B234" s="51" t="n"/>
      <c r="C234" s="51" t="n"/>
      <c r="D234" s="51" t="n"/>
      <c r="E234" s="51" t="n"/>
      <c r="F234" s="52" t="n"/>
      <c r="G234" s="51" t="n"/>
      <c r="H234" s="52" t="n"/>
      <c r="I234" s="51" t="n"/>
      <c r="J234" s="51" t="n"/>
      <c r="K234" s="52" t="n"/>
      <c r="L234" s="53" t="str">
        <f>IF(AND(IF(ISNUMBER(F234),AND(F234&gt;=1,F234&lt;=10,F234=INT(F234)),FALSE),IF(ISNUMBER(H234),AND(H234&gt;=1,H234&lt;=10,H234=INT(H234)),FALSE),IF(ISNUMBER(K234),AND(K234&gt;=1,K234&lt;=10,K234=INT(K234)),FALSE)),F234*H234*K234,"")</f>
        <v/>
      </c>
      <c r="M234" s="54" t="str">
        <f>IF(L234="",IF(D234="","","À coter"),IF(OR(F234&gt;=p_gmin,L234&gt;=p_ipr_crit),"Critique",IF(L234&gt;=p_ipr_act,"Élevée",IF(L234&gt;=p_ipr_watch,"Moyenne","Faible"))))</f>
        <v/>
      </c>
      <c r="N234" s="54" t="str">
        <f>IF(OR(M234="",M234="À coter"),"",IF(OR(M234="Critique",M234="Élevée"),"Oui","Non"))</f>
        <v/>
      </c>
      <c r="O234" s="51" t="n"/>
      <c r="P234" s="51" t="n"/>
      <c r="Q234" s="55" t="n"/>
      <c r="R234" s="50" t="n"/>
      <c r="S234" s="55" t="n"/>
      <c r="T234" s="56" t="n"/>
      <c r="U234" s="52" t="n"/>
      <c r="V234" s="52" t="n"/>
      <c r="W234" s="52" t="n"/>
      <c r="X234" s="53" t="str">
        <f>IF(AND(L234&lt;&gt;"",IF(ISNUMBER(U234),AND(U234&gt;=1,U234&lt;=10,U234=INT(U234)),FALSE),IF(ISNUMBER(V234),AND(V234&gt;=1,V234&lt;=10,V234=INT(V234)),FALSE),IF(ISNUMBER(W234),AND(W234&gt;=1,W234&lt;=10,W234=INT(W234)),FALSE)),U234*V234*W234,"")</f>
        <v/>
      </c>
      <c r="Y234" s="54" t="str">
        <f>IF(X234="","",IF(OR(U234&gt;=p_gmin,X234&gt;=p_ipr_crit),"Critique",IF(X234&gt;=p_ipr_act,"Élevée",IF(X234&gt;=p_ipr_watch,"Moyenne","Faible"))))</f>
        <v/>
      </c>
      <c r="Z234" s="57" t="str">
        <f>IF(X234="","",(L234-X234)/L234)</f>
        <v/>
      </c>
      <c r="AA234" s="54" t="str">
        <f>IF(AND(D234="",O234=""),"",IF(O234="",IF(N234="Oui","Action à définir",IF(N234="Non","Sans action","")),IF(R234="Annulée","Annulée",IF(R234="Réalisée",IF(X234="","À réévaluer","Réalisée"),IF(N(Q234)=0,"Échéance manquante",IF(Q234&lt;p_today,"En retard",IF(Q234-p_today&lt;=p_alert,"Échéance proche","Dans les délais")))))))</f>
        <v/>
      </c>
      <c r="AB234" s="58" t="str">
        <f>IF(AND(A234="",B234="",D234="",F234="",H234="",K234="",O234=""),"",IF(D234="","Mode de défaillance manquant",IF(AND(A234&lt;&gt;"",COUNTIF(am_num,A234)&gt;1),"N° en double",IF(F234="","Gravité G manquante",IF(NOT(IF(ISNUMBER(F234),AND(F234&gt;=1,F234&lt;=10,F234=INT(F234)),FALSE)),"G : entier de 1 à 10",IF(H234="","Occurrence O manquante",IF(NOT(IF(ISNUMBER(H234),AND(H234&gt;=1,H234&lt;=10,H234=INT(H234)),FALSE)),"O : entier de 1 à 10",IF(K234="","Détection D manquante",IF(NOT(IF(ISNUMBER(K234),AND(K234&gt;=1,K234&lt;=10,K234=INT(K234)),FALSE)),"D : entier de 1 à 10",IF(G234="","Cause manquante",IF(AND(O234&lt;&gt;"",P234=""),"Responsable manquant",IF(AND(R234&lt;&gt;"",O234=""),"Statut sans action",IF(AND(R234="Réalisée",N(S234)=0),"Date de réalisation manquante",IF(AND(T234&lt;&gt;"",IF(ISNUMBER(T234),T234&lt;0,TRUE)),"Coût invalide",IF(AND(COUNTBLANK(U234:W234)&gt;0,COUNTBLANK(U234:W234)&lt;3),"Cotation après action incomplète",IF(AND(COUNTBLANK(U234:W234)=0,X234=""),"G', O', D' : entiers de 1 à 10",IF(AND(X234&lt;&gt;"",X234&gt;L234),"IPR après action plus élevé","OK")))))))))))))))))</f>
        <v/>
      </c>
      <c r="AC234" s="59" t="str">
        <f>IF(OR(AA234="En retard",AA234="Échéance proche",AA234="Dans les délais",AA234="Échéance manquante",AA234="Action à définir",AA234="À réévaluer"),IF(OR(plan_who="",P234=plan_who),IF(N(Q234)&gt;0,Q234,99999)*1000+ROW(),""),"")</f>
        <v/>
      </c>
      <c r="AD234" s="59" t="str">
        <f>IF(L234="","",L234*1000+1000-ROW())</f>
        <v/>
      </c>
      <c r="AE234" s="59" t="str">
        <f>IF(IF(AA234="En retard",1,IF(AA234="Action à définir",2,IF(AA234="Échéance manquante",3,IF(AA234="Échéance proche",4,IF(AA234="À réévaluer",5,0)))))=0,"",IF(AA234="En retard",1,IF(AA234="Action à définir",2,IF(AA234="Échéance manquante",3,IF(AA234="Échéance proche",4,IF(AA234="À réévaluer",5,0)))))*100000000+IF(N(Q234)&gt;0,Q234,99999)*1000+ROW())</f>
        <v/>
      </c>
      <c r="AF234" s="59" t="str">
        <f>IF(X234&lt;&gt;"",X234,L234)</f>
        <v/>
      </c>
      <c r="AG234" s="59" t="str">
        <f>IF(X234&lt;&gt;"",Y234,IF(L234&lt;&gt;"",M234,""))</f>
        <v/>
      </c>
      <c r="AH234" s="59" t="str">
        <f>IF(L234="","",IF(X234&lt;&gt;"",U234,F234))</f>
        <v/>
      </c>
      <c r="AI234" s="59" t="str">
        <f>IF(L234="","",IF(X234&lt;&gt;"",V234,H234))</f>
        <v/>
      </c>
    </row>
    <row r="235" ht="30" customHeight="1">
      <c r="A235" s="50" t="n"/>
      <c r="B235" s="51" t="n"/>
      <c r="C235" s="51" t="n"/>
      <c r="D235" s="51" t="n"/>
      <c r="E235" s="51" t="n"/>
      <c r="F235" s="52" t="n"/>
      <c r="G235" s="51" t="n"/>
      <c r="H235" s="52" t="n"/>
      <c r="I235" s="51" t="n"/>
      <c r="J235" s="51" t="n"/>
      <c r="K235" s="52" t="n"/>
      <c r="L235" s="53" t="str">
        <f>IF(AND(IF(ISNUMBER(F235),AND(F235&gt;=1,F235&lt;=10,F235=INT(F235)),FALSE),IF(ISNUMBER(H235),AND(H235&gt;=1,H235&lt;=10,H235=INT(H235)),FALSE),IF(ISNUMBER(K235),AND(K235&gt;=1,K235&lt;=10,K235=INT(K235)),FALSE)),F235*H235*K235,"")</f>
        <v/>
      </c>
      <c r="M235" s="54" t="str">
        <f>IF(L235="",IF(D235="","","À coter"),IF(OR(F235&gt;=p_gmin,L235&gt;=p_ipr_crit),"Critique",IF(L235&gt;=p_ipr_act,"Élevée",IF(L235&gt;=p_ipr_watch,"Moyenne","Faible"))))</f>
        <v/>
      </c>
      <c r="N235" s="54" t="str">
        <f>IF(OR(M235="",M235="À coter"),"",IF(OR(M235="Critique",M235="Élevée"),"Oui","Non"))</f>
        <v/>
      </c>
      <c r="O235" s="51" t="n"/>
      <c r="P235" s="51" t="n"/>
      <c r="Q235" s="55" t="n"/>
      <c r="R235" s="50" t="n"/>
      <c r="S235" s="55" t="n"/>
      <c r="T235" s="56" t="n"/>
      <c r="U235" s="52" t="n"/>
      <c r="V235" s="52" t="n"/>
      <c r="W235" s="52" t="n"/>
      <c r="X235" s="53" t="str">
        <f>IF(AND(L235&lt;&gt;"",IF(ISNUMBER(U235),AND(U235&gt;=1,U235&lt;=10,U235=INT(U235)),FALSE),IF(ISNUMBER(V235),AND(V235&gt;=1,V235&lt;=10,V235=INT(V235)),FALSE),IF(ISNUMBER(W235),AND(W235&gt;=1,W235&lt;=10,W235=INT(W235)),FALSE)),U235*V235*W235,"")</f>
        <v/>
      </c>
      <c r="Y235" s="54" t="str">
        <f>IF(X235="","",IF(OR(U235&gt;=p_gmin,X235&gt;=p_ipr_crit),"Critique",IF(X235&gt;=p_ipr_act,"Élevée",IF(X235&gt;=p_ipr_watch,"Moyenne","Faible"))))</f>
        <v/>
      </c>
      <c r="Z235" s="57" t="str">
        <f>IF(X235="","",(L235-X235)/L235)</f>
        <v/>
      </c>
      <c r="AA235" s="54" t="str">
        <f>IF(AND(D235="",O235=""),"",IF(O235="",IF(N235="Oui","Action à définir",IF(N235="Non","Sans action","")),IF(R235="Annulée","Annulée",IF(R235="Réalisée",IF(X235="","À réévaluer","Réalisée"),IF(N(Q235)=0,"Échéance manquante",IF(Q235&lt;p_today,"En retard",IF(Q235-p_today&lt;=p_alert,"Échéance proche","Dans les délais")))))))</f>
        <v/>
      </c>
      <c r="AB235" s="58" t="str">
        <f>IF(AND(A235="",B235="",D235="",F235="",H235="",K235="",O235=""),"",IF(D235="","Mode de défaillance manquant",IF(AND(A235&lt;&gt;"",COUNTIF(am_num,A235)&gt;1),"N° en double",IF(F235="","Gravité G manquante",IF(NOT(IF(ISNUMBER(F235),AND(F235&gt;=1,F235&lt;=10,F235=INT(F235)),FALSE)),"G : entier de 1 à 10",IF(H235="","Occurrence O manquante",IF(NOT(IF(ISNUMBER(H235),AND(H235&gt;=1,H235&lt;=10,H235=INT(H235)),FALSE)),"O : entier de 1 à 10",IF(K235="","Détection D manquante",IF(NOT(IF(ISNUMBER(K235),AND(K235&gt;=1,K235&lt;=10,K235=INT(K235)),FALSE)),"D : entier de 1 à 10",IF(G235="","Cause manquante",IF(AND(O235&lt;&gt;"",P235=""),"Responsable manquant",IF(AND(R235&lt;&gt;"",O235=""),"Statut sans action",IF(AND(R235="Réalisée",N(S235)=0),"Date de réalisation manquante",IF(AND(T235&lt;&gt;"",IF(ISNUMBER(T235),T235&lt;0,TRUE)),"Coût invalide",IF(AND(COUNTBLANK(U235:W235)&gt;0,COUNTBLANK(U235:W235)&lt;3),"Cotation après action incomplète",IF(AND(COUNTBLANK(U235:W235)=0,X235=""),"G', O', D' : entiers de 1 à 10",IF(AND(X235&lt;&gt;"",X235&gt;L235),"IPR après action plus élevé","OK")))))))))))))))))</f>
        <v/>
      </c>
      <c r="AC235" s="59" t="str">
        <f>IF(OR(AA235="En retard",AA235="Échéance proche",AA235="Dans les délais",AA235="Échéance manquante",AA235="Action à définir",AA235="À réévaluer"),IF(OR(plan_who="",P235=plan_who),IF(N(Q235)&gt;0,Q235,99999)*1000+ROW(),""),"")</f>
        <v/>
      </c>
      <c r="AD235" s="59" t="str">
        <f>IF(L235="","",L235*1000+1000-ROW())</f>
        <v/>
      </c>
      <c r="AE235" s="59" t="str">
        <f>IF(IF(AA235="En retard",1,IF(AA235="Action à définir",2,IF(AA235="Échéance manquante",3,IF(AA235="Échéance proche",4,IF(AA235="À réévaluer",5,0)))))=0,"",IF(AA235="En retard",1,IF(AA235="Action à définir",2,IF(AA235="Échéance manquante",3,IF(AA235="Échéance proche",4,IF(AA235="À réévaluer",5,0)))))*100000000+IF(N(Q235)&gt;0,Q235,99999)*1000+ROW())</f>
        <v/>
      </c>
      <c r="AF235" s="59" t="str">
        <f>IF(X235&lt;&gt;"",X235,L235)</f>
        <v/>
      </c>
      <c r="AG235" s="59" t="str">
        <f>IF(X235&lt;&gt;"",Y235,IF(L235&lt;&gt;"",M235,""))</f>
        <v/>
      </c>
      <c r="AH235" s="59" t="str">
        <f>IF(L235="","",IF(X235&lt;&gt;"",U235,F235))</f>
        <v/>
      </c>
      <c r="AI235" s="59" t="str">
        <f>IF(L235="","",IF(X235&lt;&gt;"",V235,H235))</f>
        <v/>
      </c>
    </row>
    <row r="236" ht="30" customHeight="1">
      <c r="A236" s="50" t="n"/>
      <c r="B236" s="51" t="n"/>
      <c r="C236" s="51" t="n"/>
      <c r="D236" s="51" t="n"/>
      <c r="E236" s="51" t="n"/>
      <c r="F236" s="52" t="n"/>
      <c r="G236" s="51" t="n"/>
      <c r="H236" s="52" t="n"/>
      <c r="I236" s="51" t="n"/>
      <c r="J236" s="51" t="n"/>
      <c r="K236" s="52" t="n"/>
      <c r="L236" s="53" t="str">
        <f>IF(AND(IF(ISNUMBER(F236),AND(F236&gt;=1,F236&lt;=10,F236=INT(F236)),FALSE),IF(ISNUMBER(H236),AND(H236&gt;=1,H236&lt;=10,H236=INT(H236)),FALSE),IF(ISNUMBER(K236),AND(K236&gt;=1,K236&lt;=10,K236=INT(K236)),FALSE)),F236*H236*K236,"")</f>
        <v/>
      </c>
      <c r="M236" s="54" t="str">
        <f>IF(L236="",IF(D236="","","À coter"),IF(OR(F236&gt;=p_gmin,L236&gt;=p_ipr_crit),"Critique",IF(L236&gt;=p_ipr_act,"Élevée",IF(L236&gt;=p_ipr_watch,"Moyenne","Faible"))))</f>
        <v/>
      </c>
      <c r="N236" s="54" t="str">
        <f>IF(OR(M236="",M236="À coter"),"",IF(OR(M236="Critique",M236="Élevée"),"Oui","Non"))</f>
        <v/>
      </c>
      <c r="O236" s="51" t="n"/>
      <c r="P236" s="51" t="n"/>
      <c r="Q236" s="55" t="n"/>
      <c r="R236" s="50" t="n"/>
      <c r="S236" s="55" t="n"/>
      <c r="T236" s="56" t="n"/>
      <c r="U236" s="52" t="n"/>
      <c r="V236" s="52" t="n"/>
      <c r="W236" s="52" t="n"/>
      <c r="X236" s="53" t="str">
        <f>IF(AND(L236&lt;&gt;"",IF(ISNUMBER(U236),AND(U236&gt;=1,U236&lt;=10,U236=INT(U236)),FALSE),IF(ISNUMBER(V236),AND(V236&gt;=1,V236&lt;=10,V236=INT(V236)),FALSE),IF(ISNUMBER(W236),AND(W236&gt;=1,W236&lt;=10,W236=INT(W236)),FALSE)),U236*V236*W236,"")</f>
        <v/>
      </c>
      <c r="Y236" s="54" t="str">
        <f>IF(X236="","",IF(OR(U236&gt;=p_gmin,X236&gt;=p_ipr_crit),"Critique",IF(X236&gt;=p_ipr_act,"Élevée",IF(X236&gt;=p_ipr_watch,"Moyenne","Faible"))))</f>
        <v/>
      </c>
      <c r="Z236" s="57" t="str">
        <f>IF(X236="","",(L236-X236)/L236)</f>
        <v/>
      </c>
      <c r="AA236" s="54" t="str">
        <f>IF(AND(D236="",O236=""),"",IF(O236="",IF(N236="Oui","Action à définir",IF(N236="Non","Sans action","")),IF(R236="Annulée","Annulée",IF(R236="Réalisée",IF(X236="","À réévaluer","Réalisée"),IF(N(Q236)=0,"Échéance manquante",IF(Q236&lt;p_today,"En retard",IF(Q236-p_today&lt;=p_alert,"Échéance proche","Dans les délais")))))))</f>
        <v/>
      </c>
      <c r="AB236" s="58" t="str">
        <f>IF(AND(A236="",B236="",D236="",F236="",H236="",K236="",O236=""),"",IF(D236="","Mode de défaillance manquant",IF(AND(A236&lt;&gt;"",COUNTIF(am_num,A236)&gt;1),"N° en double",IF(F236="","Gravité G manquante",IF(NOT(IF(ISNUMBER(F236),AND(F236&gt;=1,F236&lt;=10,F236=INT(F236)),FALSE)),"G : entier de 1 à 10",IF(H236="","Occurrence O manquante",IF(NOT(IF(ISNUMBER(H236),AND(H236&gt;=1,H236&lt;=10,H236=INT(H236)),FALSE)),"O : entier de 1 à 10",IF(K236="","Détection D manquante",IF(NOT(IF(ISNUMBER(K236),AND(K236&gt;=1,K236&lt;=10,K236=INT(K236)),FALSE)),"D : entier de 1 à 10",IF(G236="","Cause manquante",IF(AND(O236&lt;&gt;"",P236=""),"Responsable manquant",IF(AND(R236&lt;&gt;"",O236=""),"Statut sans action",IF(AND(R236="Réalisée",N(S236)=0),"Date de réalisation manquante",IF(AND(T236&lt;&gt;"",IF(ISNUMBER(T236),T236&lt;0,TRUE)),"Coût invalide",IF(AND(COUNTBLANK(U236:W236)&gt;0,COUNTBLANK(U236:W236)&lt;3),"Cotation après action incomplète",IF(AND(COUNTBLANK(U236:W236)=0,X236=""),"G', O', D' : entiers de 1 à 10",IF(AND(X236&lt;&gt;"",X236&gt;L236),"IPR après action plus élevé","OK")))))))))))))))))</f>
        <v/>
      </c>
      <c r="AC236" s="59" t="str">
        <f>IF(OR(AA236="En retard",AA236="Échéance proche",AA236="Dans les délais",AA236="Échéance manquante",AA236="Action à définir",AA236="À réévaluer"),IF(OR(plan_who="",P236=plan_who),IF(N(Q236)&gt;0,Q236,99999)*1000+ROW(),""),"")</f>
        <v/>
      </c>
      <c r="AD236" s="59" t="str">
        <f>IF(L236="","",L236*1000+1000-ROW())</f>
        <v/>
      </c>
      <c r="AE236" s="59" t="str">
        <f>IF(IF(AA236="En retard",1,IF(AA236="Action à définir",2,IF(AA236="Échéance manquante",3,IF(AA236="Échéance proche",4,IF(AA236="À réévaluer",5,0)))))=0,"",IF(AA236="En retard",1,IF(AA236="Action à définir",2,IF(AA236="Échéance manquante",3,IF(AA236="Échéance proche",4,IF(AA236="À réévaluer",5,0)))))*100000000+IF(N(Q236)&gt;0,Q236,99999)*1000+ROW())</f>
        <v/>
      </c>
      <c r="AF236" s="59" t="str">
        <f>IF(X236&lt;&gt;"",X236,L236)</f>
        <v/>
      </c>
      <c r="AG236" s="59" t="str">
        <f>IF(X236&lt;&gt;"",Y236,IF(L236&lt;&gt;"",M236,""))</f>
        <v/>
      </c>
      <c r="AH236" s="59" t="str">
        <f>IF(L236="","",IF(X236&lt;&gt;"",U236,F236))</f>
        <v/>
      </c>
      <c r="AI236" s="59" t="str">
        <f>IF(L236="","",IF(X236&lt;&gt;"",V236,H236))</f>
        <v/>
      </c>
    </row>
    <row r="237" ht="30" customHeight="1">
      <c r="A237" s="50" t="n"/>
      <c r="B237" s="51" t="n"/>
      <c r="C237" s="51" t="n"/>
      <c r="D237" s="51" t="n"/>
      <c r="E237" s="51" t="n"/>
      <c r="F237" s="52" t="n"/>
      <c r="G237" s="51" t="n"/>
      <c r="H237" s="52" t="n"/>
      <c r="I237" s="51" t="n"/>
      <c r="J237" s="51" t="n"/>
      <c r="K237" s="52" t="n"/>
      <c r="L237" s="53" t="str">
        <f>IF(AND(IF(ISNUMBER(F237),AND(F237&gt;=1,F237&lt;=10,F237=INT(F237)),FALSE),IF(ISNUMBER(H237),AND(H237&gt;=1,H237&lt;=10,H237=INT(H237)),FALSE),IF(ISNUMBER(K237),AND(K237&gt;=1,K237&lt;=10,K237=INT(K237)),FALSE)),F237*H237*K237,"")</f>
        <v/>
      </c>
      <c r="M237" s="54" t="str">
        <f>IF(L237="",IF(D237="","","À coter"),IF(OR(F237&gt;=p_gmin,L237&gt;=p_ipr_crit),"Critique",IF(L237&gt;=p_ipr_act,"Élevée",IF(L237&gt;=p_ipr_watch,"Moyenne","Faible"))))</f>
        <v/>
      </c>
      <c r="N237" s="54" t="str">
        <f>IF(OR(M237="",M237="À coter"),"",IF(OR(M237="Critique",M237="Élevée"),"Oui","Non"))</f>
        <v/>
      </c>
      <c r="O237" s="51" t="n"/>
      <c r="P237" s="51" t="n"/>
      <c r="Q237" s="55" t="n"/>
      <c r="R237" s="50" t="n"/>
      <c r="S237" s="55" t="n"/>
      <c r="T237" s="56" t="n"/>
      <c r="U237" s="52" t="n"/>
      <c r="V237" s="52" t="n"/>
      <c r="W237" s="52" t="n"/>
      <c r="X237" s="53" t="str">
        <f>IF(AND(L237&lt;&gt;"",IF(ISNUMBER(U237),AND(U237&gt;=1,U237&lt;=10,U237=INT(U237)),FALSE),IF(ISNUMBER(V237),AND(V237&gt;=1,V237&lt;=10,V237=INT(V237)),FALSE),IF(ISNUMBER(W237),AND(W237&gt;=1,W237&lt;=10,W237=INT(W237)),FALSE)),U237*V237*W237,"")</f>
        <v/>
      </c>
      <c r="Y237" s="54" t="str">
        <f>IF(X237="","",IF(OR(U237&gt;=p_gmin,X237&gt;=p_ipr_crit),"Critique",IF(X237&gt;=p_ipr_act,"Élevée",IF(X237&gt;=p_ipr_watch,"Moyenne","Faible"))))</f>
        <v/>
      </c>
      <c r="Z237" s="57" t="str">
        <f>IF(X237="","",(L237-X237)/L237)</f>
        <v/>
      </c>
      <c r="AA237" s="54" t="str">
        <f>IF(AND(D237="",O237=""),"",IF(O237="",IF(N237="Oui","Action à définir",IF(N237="Non","Sans action","")),IF(R237="Annulée","Annulée",IF(R237="Réalisée",IF(X237="","À réévaluer","Réalisée"),IF(N(Q237)=0,"Échéance manquante",IF(Q237&lt;p_today,"En retard",IF(Q237-p_today&lt;=p_alert,"Échéance proche","Dans les délais")))))))</f>
        <v/>
      </c>
      <c r="AB237" s="58" t="str">
        <f>IF(AND(A237="",B237="",D237="",F237="",H237="",K237="",O237=""),"",IF(D237="","Mode de défaillance manquant",IF(AND(A237&lt;&gt;"",COUNTIF(am_num,A237)&gt;1),"N° en double",IF(F237="","Gravité G manquante",IF(NOT(IF(ISNUMBER(F237),AND(F237&gt;=1,F237&lt;=10,F237=INT(F237)),FALSE)),"G : entier de 1 à 10",IF(H237="","Occurrence O manquante",IF(NOT(IF(ISNUMBER(H237),AND(H237&gt;=1,H237&lt;=10,H237=INT(H237)),FALSE)),"O : entier de 1 à 10",IF(K237="","Détection D manquante",IF(NOT(IF(ISNUMBER(K237),AND(K237&gt;=1,K237&lt;=10,K237=INT(K237)),FALSE)),"D : entier de 1 à 10",IF(G237="","Cause manquante",IF(AND(O237&lt;&gt;"",P237=""),"Responsable manquant",IF(AND(R237&lt;&gt;"",O237=""),"Statut sans action",IF(AND(R237="Réalisée",N(S237)=0),"Date de réalisation manquante",IF(AND(T237&lt;&gt;"",IF(ISNUMBER(T237),T237&lt;0,TRUE)),"Coût invalide",IF(AND(COUNTBLANK(U237:W237)&gt;0,COUNTBLANK(U237:W237)&lt;3),"Cotation après action incomplète",IF(AND(COUNTBLANK(U237:W237)=0,X237=""),"G', O', D' : entiers de 1 à 10",IF(AND(X237&lt;&gt;"",X237&gt;L237),"IPR après action plus élevé","OK")))))))))))))))))</f>
        <v/>
      </c>
      <c r="AC237" s="59" t="str">
        <f>IF(OR(AA237="En retard",AA237="Échéance proche",AA237="Dans les délais",AA237="Échéance manquante",AA237="Action à définir",AA237="À réévaluer"),IF(OR(plan_who="",P237=plan_who),IF(N(Q237)&gt;0,Q237,99999)*1000+ROW(),""),"")</f>
        <v/>
      </c>
      <c r="AD237" s="59" t="str">
        <f>IF(L237="","",L237*1000+1000-ROW())</f>
        <v/>
      </c>
      <c r="AE237" s="59" t="str">
        <f>IF(IF(AA237="En retard",1,IF(AA237="Action à définir",2,IF(AA237="Échéance manquante",3,IF(AA237="Échéance proche",4,IF(AA237="À réévaluer",5,0)))))=0,"",IF(AA237="En retard",1,IF(AA237="Action à définir",2,IF(AA237="Échéance manquante",3,IF(AA237="Échéance proche",4,IF(AA237="À réévaluer",5,0)))))*100000000+IF(N(Q237)&gt;0,Q237,99999)*1000+ROW())</f>
        <v/>
      </c>
      <c r="AF237" s="59" t="str">
        <f>IF(X237&lt;&gt;"",X237,L237)</f>
        <v/>
      </c>
      <c r="AG237" s="59" t="str">
        <f>IF(X237&lt;&gt;"",Y237,IF(L237&lt;&gt;"",M237,""))</f>
        <v/>
      </c>
      <c r="AH237" s="59" t="str">
        <f>IF(L237="","",IF(X237&lt;&gt;"",U237,F237))</f>
        <v/>
      </c>
      <c r="AI237" s="59" t="str">
        <f>IF(L237="","",IF(X237&lt;&gt;"",V237,H237))</f>
        <v/>
      </c>
    </row>
    <row r="238" ht="30" customHeight="1">
      <c r="A238" s="50" t="n"/>
      <c r="B238" s="51" t="n"/>
      <c r="C238" s="51" t="n"/>
      <c r="D238" s="51" t="n"/>
      <c r="E238" s="51" t="n"/>
      <c r="F238" s="52" t="n"/>
      <c r="G238" s="51" t="n"/>
      <c r="H238" s="52" t="n"/>
      <c r="I238" s="51" t="n"/>
      <c r="J238" s="51" t="n"/>
      <c r="K238" s="52" t="n"/>
      <c r="L238" s="53" t="str">
        <f>IF(AND(IF(ISNUMBER(F238),AND(F238&gt;=1,F238&lt;=10,F238=INT(F238)),FALSE),IF(ISNUMBER(H238),AND(H238&gt;=1,H238&lt;=10,H238=INT(H238)),FALSE),IF(ISNUMBER(K238),AND(K238&gt;=1,K238&lt;=10,K238=INT(K238)),FALSE)),F238*H238*K238,"")</f>
        <v/>
      </c>
      <c r="M238" s="54" t="str">
        <f>IF(L238="",IF(D238="","","À coter"),IF(OR(F238&gt;=p_gmin,L238&gt;=p_ipr_crit),"Critique",IF(L238&gt;=p_ipr_act,"Élevée",IF(L238&gt;=p_ipr_watch,"Moyenne","Faible"))))</f>
        <v/>
      </c>
      <c r="N238" s="54" t="str">
        <f>IF(OR(M238="",M238="À coter"),"",IF(OR(M238="Critique",M238="Élevée"),"Oui","Non"))</f>
        <v/>
      </c>
      <c r="O238" s="51" t="n"/>
      <c r="P238" s="51" t="n"/>
      <c r="Q238" s="55" t="n"/>
      <c r="R238" s="50" t="n"/>
      <c r="S238" s="55" t="n"/>
      <c r="T238" s="56" t="n"/>
      <c r="U238" s="52" t="n"/>
      <c r="V238" s="52" t="n"/>
      <c r="W238" s="52" t="n"/>
      <c r="X238" s="53" t="str">
        <f>IF(AND(L238&lt;&gt;"",IF(ISNUMBER(U238),AND(U238&gt;=1,U238&lt;=10,U238=INT(U238)),FALSE),IF(ISNUMBER(V238),AND(V238&gt;=1,V238&lt;=10,V238=INT(V238)),FALSE),IF(ISNUMBER(W238),AND(W238&gt;=1,W238&lt;=10,W238=INT(W238)),FALSE)),U238*V238*W238,"")</f>
        <v/>
      </c>
      <c r="Y238" s="54" t="str">
        <f>IF(X238="","",IF(OR(U238&gt;=p_gmin,X238&gt;=p_ipr_crit),"Critique",IF(X238&gt;=p_ipr_act,"Élevée",IF(X238&gt;=p_ipr_watch,"Moyenne","Faible"))))</f>
        <v/>
      </c>
      <c r="Z238" s="57" t="str">
        <f>IF(X238="","",(L238-X238)/L238)</f>
        <v/>
      </c>
      <c r="AA238" s="54" t="str">
        <f>IF(AND(D238="",O238=""),"",IF(O238="",IF(N238="Oui","Action à définir",IF(N238="Non","Sans action","")),IF(R238="Annulée","Annulée",IF(R238="Réalisée",IF(X238="","À réévaluer","Réalisée"),IF(N(Q238)=0,"Échéance manquante",IF(Q238&lt;p_today,"En retard",IF(Q238-p_today&lt;=p_alert,"Échéance proche","Dans les délais")))))))</f>
        <v/>
      </c>
      <c r="AB238" s="58" t="str">
        <f>IF(AND(A238="",B238="",D238="",F238="",H238="",K238="",O238=""),"",IF(D238="","Mode de défaillance manquant",IF(AND(A238&lt;&gt;"",COUNTIF(am_num,A238)&gt;1),"N° en double",IF(F238="","Gravité G manquante",IF(NOT(IF(ISNUMBER(F238),AND(F238&gt;=1,F238&lt;=10,F238=INT(F238)),FALSE)),"G : entier de 1 à 10",IF(H238="","Occurrence O manquante",IF(NOT(IF(ISNUMBER(H238),AND(H238&gt;=1,H238&lt;=10,H238=INT(H238)),FALSE)),"O : entier de 1 à 10",IF(K238="","Détection D manquante",IF(NOT(IF(ISNUMBER(K238),AND(K238&gt;=1,K238&lt;=10,K238=INT(K238)),FALSE)),"D : entier de 1 à 10",IF(G238="","Cause manquante",IF(AND(O238&lt;&gt;"",P238=""),"Responsable manquant",IF(AND(R238&lt;&gt;"",O238=""),"Statut sans action",IF(AND(R238="Réalisée",N(S238)=0),"Date de réalisation manquante",IF(AND(T238&lt;&gt;"",IF(ISNUMBER(T238),T238&lt;0,TRUE)),"Coût invalide",IF(AND(COUNTBLANK(U238:W238)&gt;0,COUNTBLANK(U238:W238)&lt;3),"Cotation après action incomplète",IF(AND(COUNTBLANK(U238:W238)=0,X238=""),"G', O', D' : entiers de 1 à 10",IF(AND(X238&lt;&gt;"",X238&gt;L238),"IPR après action plus élevé","OK")))))))))))))))))</f>
        <v/>
      </c>
      <c r="AC238" s="59" t="str">
        <f>IF(OR(AA238="En retard",AA238="Échéance proche",AA238="Dans les délais",AA238="Échéance manquante",AA238="Action à définir",AA238="À réévaluer"),IF(OR(plan_who="",P238=plan_who),IF(N(Q238)&gt;0,Q238,99999)*1000+ROW(),""),"")</f>
        <v/>
      </c>
      <c r="AD238" s="59" t="str">
        <f>IF(L238="","",L238*1000+1000-ROW())</f>
        <v/>
      </c>
      <c r="AE238" s="59" t="str">
        <f>IF(IF(AA238="En retard",1,IF(AA238="Action à définir",2,IF(AA238="Échéance manquante",3,IF(AA238="Échéance proche",4,IF(AA238="À réévaluer",5,0)))))=0,"",IF(AA238="En retard",1,IF(AA238="Action à définir",2,IF(AA238="Échéance manquante",3,IF(AA238="Échéance proche",4,IF(AA238="À réévaluer",5,0)))))*100000000+IF(N(Q238)&gt;0,Q238,99999)*1000+ROW())</f>
        <v/>
      </c>
      <c r="AF238" s="59" t="str">
        <f>IF(X238&lt;&gt;"",X238,L238)</f>
        <v/>
      </c>
      <c r="AG238" s="59" t="str">
        <f>IF(X238&lt;&gt;"",Y238,IF(L238&lt;&gt;"",M238,""))</f>
        <v/>
      </c>
      <c r="AH238" s="59" t="str">
        <f>IF(L238="","",IF(X238&lt;&gt;"",U238,F238))</f>
        <v/>
      </c>
      <c r="AI238" s="59" t="str">
        <f>IF(L238="","",IF(X238&lt;&gt;"",V238,H238))</f>
        <v/>
      </c>
    </row>
    <row r="239" ht="30" customHeight="1">
      <c r="A239" s="50" t="n"/>
      <c r="B239" s="51" t="n"/>
      <c r="C239" s="51" t="n"/>
      <c r="D239" s="51" t="n"/>
      <c r="E239" s="51" t="n"/>
      <c r="F239" s="52" t="n"/>
      <c r="G239" s="51" t="n"/>
      <c r="H239" s="52" t="n"/>
      <c r="I239" s="51" t="n"/>
      <c r="J239" s="51" t="n"/>
      <c r="K239" s="52" t="n"/>
      <c r="L239" s="53" t="str">
        <f>IF(AND(IF(ISNUMBER(F239),AND(F239&gt;=1,F239&lt;=10,F239=INT(F239)),FALSE),IF(ISNUMBER(H239),AND(H239&gt;=1,H239&lt;=10,H239=INT(H239)),FALSE),IF(ISNUMBER(K239),AND(K239&gt;=1,K239&lt;=10,K239=INT(K239)),FALSE)),F239*H239*K239,"")</f>
        <v/>
      </c>
      <c r="M239" s="54" t="str">
        <f>IF(L239="",IF(D239="","","À coter"),IF(OR(F239&gt;=p_gmin,L239&gt;=p_ipr_crit),"Critique",IF(L239&gt;=p_ipr_act,"Élevée",IF(L239&gt;=p_ipr_watch,"Moyenne","Faible"))))</f>
        <v/>
      </c>
      <c r="N239" s="54" t="str">
        <f>IF(OR(M239="",M239="À coter"),"",IF(OR(M239="Critique",M239="Élevée"),"Oui","Non"))</f>
        <v/>
      </c>
      <c r="O239" s="51" t="n"/>
      <c r="P239" s="51" t="n"/>
      <c r="Q239" s="55" t="n"/>
      <c r="R239" s="50" t="n"/>
      <c r="S239" s="55" t="n"/>
      <c r="T239" s="56" t="n"/>
      <c r="U239" s="52" t="n"/>
      <c r="V239" s="52" t="n"/>
      <c r="W239" s="52" t="n"/>
      <c r="X239" s="53" t="str">
        <f>IF(AND(L239&lt;&gt;"",IF(ISNUMBER(U239),AND(U239&gt;=1,U239&lt;=10,U239=INT(U239)),FALSE),IF(ISNUMBER(V239),AND(V239&gt;=1,V239&lt;=10,V239=INT(V239)),FALSE),IF(ISNUMBER(W239),AND(W239&gt;=1,W239&lt;=10,W239=INT(W239)),FALSE)),U239*V239*W239,"")</f>
        <v/>
      </c>
      <c r="Y239" s="54" t="str">
        <f>IF(X239="","",IF(OR(U239&gt;=p_gmin,X239&gt;=p_ipr_crit),"Critique",IF(X239&gt;=p_ipr_act,"Élevée",IF(X239&gt;=p_ipr_watch,"Moyenne","Faible"))))</f>
        <v/>
      </c>
      <c r="Z239" s="57" t="str">
        <f>IF(X239="","",(L239-X239)/L239)</f>
        <v/>
      </c>
      <c r="AA239" s="54" t="str">
        <f>IF(AND(D239="",O239=""),"",IF(O239="",IF(N239="Oui","Action à définir",IF(N239="Non","Sans action","")),IF(R239="Annulée","Annulée",IF(R239="Réalisée",IF(X239="","À réévaluer","Réalisée"),IF(N(Q239)=0,"Échéance manquante",IF(Q239&lt;p_today,"En retard",IF(Q239-p_today&lt;=p_alert,"Échéance proche","Dans les délais")))))))</f>
        <v/>
      </c>
      <c r="AB239" s="58" t="str">
        <f>IF(AND(A239="",B239="",D239="",F239="",H239="",K239="",O239=""),"",IF(D239="","Mode de défaillance manquant",IF(AND(A239&lt;&gt;"",COUNTIF(am_num,A239)&gt;1),"N° en double",IF(F239="","Gravité G manquante",IF(NOT(IF(ISNUMBER(F239),AND(F239&gt;=1,F239&lt;=10,F239=INT(F239)),FALSE)),"G : entier de 1 à 10",IF(H239="","Occurrence O manquante",IF(NOT(IF(ISNUMBER(H239),AND(H239&gt;=1,H239&lt;=10,H239=INT(H239)),FALSE)),"O : entier de 1 à 10",IF(K239="","Détection D manquante",IF(NOT(IF(ISNUMBER(K239),AND(K239&gt;=1,K239&lt;=10,K239=INT(K239)),FALSE)),"D : entier de 1 à 10",IF(G239="","Cause manquante",IF(AND(O239&lt;&gt;"",P239=""),"Responsable manquant",IF(AND(R239&lt;&gt;"",O239=""),"Statut sans action",IF(AND(R239="Réalisée",N(S239)=0),"Date de réalisation manquante",IF(AND(T239&lt;&gt;"",IF(ISNUMBER(T239),T239&lt;0,TRUE)),"Coût invalide",IF(AND(COUNTBLANK(U239:W239)&gt;0,COUNTBLANK(U239:W239)&lt;3),"Cotation après action incomplète",IF(AND(COUNTBLANK(U239:W239)=0,X239=""),"G', O', D' : entiers de 1 à 10",IF(AND(X239&lt;&gt;"",X239&gt;L239),"IPR après action plus élevé","OK")))))))))))))))))</f>
        <v/>
      </c>
      <c r="AC239" s="59" t="str">
        <f>IF(OR(AA239="En retard",AA239="Échéance proche",AA239="Dans les délais",AA239="Échéance manquante",AA239="Action à définir",AA239="À réévaluer"),IF(OR(plan_who="",P239=plan_who),IF(N(Q239)&gt;0,Q239,99999)*1000+ROW(),""),"")</f>
        <v/>
      </c>
      <c r="AD239" s="59" t="str">
        <f>IF(L239="","",L239*1000+1000-ROW())</f>
        <v/>
      </c>
      <c r="AE239" s="59" t="str">
        <f>IF(IF(AA239="En retard",1,IF(AA239="Action à définir",2,IF(AA239="Échéance manquante",3,IF(AA239="Échéance proche",4,IF(AA239="À réévaluer",5,0)))))=0,"",IF(AA239="En retard",1,IF(AA239="Action à définir",2,IF(AA239="Échéance manquante",3,IF(AA239="Échéance proche",4,IF(AA239="À réévaluer",5,0)))))*100000000+IF(N(Q239)&gt;0,Q239,99999)*1000+ROW())</f>
        <v/>
      </c>
      <c r="AF239" s="59" t="str">
        <f>IF(X239&lt;&gt;"",X239,L239)</f>
        <v/>
      </c>
      <c r="AG239" s="59" t="str">
        <f>IF(X239&lt;&gt;"",Y239,IF(L239&lt;&gt;"",M239,""))</f>
        <v/>
      </c>
      <c r="AH239" s="59" t="str">
        <f>IF(L239="","",IF(X239&lt;&gt;"",U239,F239))</f>
        <v/>
      </c>
      <c r="AI239" s="59" t="str">
        <f>IF(L239="","",IF(X239&lt;&gt;"",V239,H239))</f>
        <v/>
      </c>
    </row>
    <row r="240" ht="30" customHeight="1">
      <c r="A240" s="50" t="n"/>
      <c r="B240" s="51" t="n"/>
      <c r="C240" s="51" t="n"/>
      <c r="D240" s="51" t="n"/>
      <c r="E240" s="51" t="n"/>
      <c r="F240" s="52" t="n"/>
      <c r="G240" s="51" t="n"/>
      <c r="H240" s="52" t="n"/>
      <c r="I240" s="51" t="n"/>
      <c r="J240" s="51" t="n"/>
      <c r="K240" s="52" t="n"/>
      <c r="L240" s="53" t="str">
        <f>IF(AND(IF(ISNUMBER(F240),AND(F240&gt;=1,F240&lt;=10,F240=INT(F240)),FALSE),IF(ISNUMBER(H240),AND(H240&gt;=1,H240&lt;=10,H240=INT(H240)),FALSE),IF(ISNUMBER(K240),AND(K240&gt;=1,K240&lt;=10,K240=INT(K240)),FALSE)),F240*H240*K240,"")</f>
        <v/>
      </c>
      <c r="M240" s="54" t="str">
        <f>IF(L240="",IF(D240="","","À coter"),IF(OR(F240&gt;=p_gmin,L240&gt;=p_ipr_crit),"Critique",IF(L240&gt;=p_ipr_act,"Élevée",IF(L240&gt;=p_ipr_watch,"Moyenne","Faible"))))</f>
        <v/>
      </c>
      <c r="N240" s="54" t="str">
        <f>IF(OR(M240="",M240="À coter"),"",IF(OR(M240="Critique",M240="Élevée"),"Oui","Non"))</f>
        <v/>
      </c>
      <c r="O240" s="51" t="n"/>
      <c r="P240" s="51" t="n"/>
      <c r="Q240" s="55" t="n"/>
      <c r="R240" s="50" t="n"/>
      <c r="S240" s="55" t="n"/>
      <c r="T240" s="56" t="n"/>
      <c r="U240" s="52" t="n"/>
      <c r="V240" s="52" t="n"/>
      <c r="W240" s="52" t="n"/>
      <c r="X240" s="53" t="str">
        <f>IF(AND(L240&lt;&gt;"",IF(ISNUMBER(U240),AND(U240&gt;=1,U240&lt;=10,U240=INT(U240)),FALSE),IF(ISNUMBER(V240),AND(V240&gt;=1,V240&lt;=10,V240=INT(V240)),FALSE),IF(ISNUMBER(W240),AND(W240&gt;=1,W240&lt;=10,W240=INT(W240)),FALSE)),U240*V240*W240,"")</f>
        <v/>
      </c>
      <c r="Y240" s="54" t="str">
        <f>IF(X240="","",IF(OR(U240&gt;=p_gmin,X240&gt;=p_ipr_crit),"Critique",IF(X240&gt;=p_ipr_act,"Élevée",IF(X240&gt;=p_ipr_watch,"Moyenne","Faible"))))</f>
        <v/>
      </c>
      <c r="Z240" s="57" t="str">
        <f>IF(X240="","",(L240-X240)/L240)</f>
        <v/>
      </c>
      <c r="AA240" s="54" t="str">
        <f>IF(AND(D240="",O240=""),"",IF(O240="",IF(N240="Oui","Action à définir",IF(N240="Non","Sans action","")),IF(R240="Annulée","Annulée",IF(R240="Réalisée",IF(X240="","À réévaluer","Réalisée"),IF(N(Q240)=0,"Échéance manquante",IF(Q240&lt;p_today,"En retard",IF(Q240-p_today&lt;=p_alert,"Échéance proche","Dans les délais")))))))</f>
        <v/>
      </c>
      <c r="AB240" s="58" t="str">
        <f>IF(AND(A240="",B240="",D240="",F240="",H240="",K240="",O240=""),"",IF(D240="","Mode de défaillance manquant",IF(AND(A240&lt;&gt;"",COUNTIF(am_num,A240)&gt;1),"N° en double",IF(F240="","Gravité G manquante",IF(NOT(IF(ISNUMBER(F240),AND(F240&gt;=1,F240&lt;=10,F240=INT(F240)),FALSE)),"G : entier de 1 à 10",IF(H240="","Occurrence O manquante",IF(NOT(IF(ISNUMBER(H240),AND(H240&gt;=1,H240&lt;=10,H240=INT(H240)),FALSE)),"O : entier de 1 à 10",IF(K240="","Détection D manquante",IF(NOT(IF(ISNUMBER(K240),AND(K240&gt;=1,K240&lt;=10,K240=INT(K240)),FALSE)),"D : entier de 1 à 10",IF(G240="","Cause manquante",IF(AND(O240&lt;&gt;"",P240=""),"Responsable manquant",IF(AND(R240&lt;&gt;"",O240=""),"Statut sans action",IF(AND(R240="Réalisée",N(S240)=0),"Date de réalisation manquante",IF(AND(T240&lt;&gt;"",IF(ISNUMBER(T240),T240&lt;0,TRUE)),"Coût invalide",IF(AND(COUNTBLANK(U240:W240)&gt;0,COUNTBLANK(U240:W240)&lt;3),"Cotation après action incomplète",IF(AND(COUNTBLANK(U240:W240)=0,X240=""),"G', O', D' : entiers de 1 à 10",IF(AND(X240&lt;&gt;"",X240&gt;L240),"IPR après action plus élevé","OK")))))))))))))))))</f>
        <v/>
      </c>
      <c r="AC240" s="59" t="str">
        <f>IF(OR(AA240="En retard",AA240="Échéance proche",AA240="Dans les délais",AA240="Échéance manquante",AA240="Action à définir",AA240="À réévaluer"),IF(OR(plan_who="",P240=plan_who),IF(N(Q240)&gt;0,Q240,99999)*1000+ROW(),""),"")</f>
        <v/>
      </c>
      <c r="AD240" s="59" t="str">
        <f>IF(L240="","",L240*1000+1000-ROW())</f>
        <v/>
      </c>
      <c r="AE240" s="59" t="str">
        <f>IF(IF(AA240="En retard",1,IF(AA240="Action à définir",2,IF(AA240="Échéance manquante",3,IF(AA240="Échéance proche",4,IF(AA240="À réévaluer",5,0)))))=0,"",IF(AA240="En retard",1,IF(AA240="Action à définir",2,IF(AA240="Échéance manquante",3,IF(AA240="Échéance proche",4,IF(AA240="À réévaluer",5,0)))))*100000000+IF(N(Q240)&gt;0,Q240,99999)*1000+ROW())</f>
        <v/>
      </c>
      <c r="AF240" s="59" t="str">
        <f>IF(X240&lt;&gt;"",X240,L240)</f>
        <v/>
      </c>
      <c r="AG240" s="59" t="str">
        <f>IF(X240&lt;&gt;"",Y240,IF(L240&lt;&gt;"",M240,""))</f>
        <v/>
      </c>
      <c r="AH240" s="59" t="str">
        <f>IF(L240="","",IF(X240&lt;&gt;"",U240,F240))</f>
        <v/>
      </c>
      <c r="AI240" s="59" t="str">
        <f>IF(L240="","",IF(X240&lt;&gt;"",V240,H240))</f>
        <v/>
      </c>
    </row>
    <row r="241" ht="30" customHeight="1">
      <c r="A241" s="50" t="n"/>
      <c r="B241" s="51" t="n"/>
      <c r="C241" s="51" t="n"/>
      <c r="D241" s="51" t="n"/>
      <c r="E241" s="51" t="n"/>
      <c r="F241" s="52" t="n"/>
      <c r="G241" s="51" t="n"/>
      <c r="H241" s="52" t="n"/>
      <c r="I241" s="51" t="n"/>
      <c r="J241" s="51" t="n"/>
      <c r="K241" s="52" t="n"/>
      <c r="L241" s="53" t="str">
        <f>IF(AND(IF(ISNUMBER(F241),AND(F241&gt;=1,F241&lt;=10,F241=INT(F241)),FALSE),IF(ISNUMBER(H241),AND(H241&gt;=1,H241&lt;=10,H241=INT(H241)),FALSE),IF(ISNUMBER(K241),AND(K241&gt;=1,K241&lt;=10,K241=INT(K241)),FALSE)),F241*H241*K241,"")</f>
        <v/>
      </c>
      <c r="M241" s="54" t="str">
        <f>IF(L241="",IF(D241="","","À coter"),IF(OR(F241&gt;=p_gmin,L241&gt;=p_ipr_crit),"Critique",IF(L241&gt;=p_ipr_act,"Élevée",IF(L241&gt;=p_ipr_watch,"Moyenne","Faible"))))</f>
        <v/>
      </c>
      <c r="N241" s="54" t="str">
        <f>IF(OR(M241="",M241="À coter"),"",IF(OR(M241="Critique",M241="Élevée"),"Oui","Non"))</f>
        <v/>
      </c>
      <c r="O241" s="51" t="n"/>
      <c r="P241" s="51" t="n"/>
      <c r="Q241" s="55" t="n"/>
      <c r="R241" s="50" t="n"/>
      <c r="S241" s="55" t="n"/>
      <c r="T241" s="56" t="n"/>
      <c r="U241" s="52" t="n"/>
      <c r="V241" s="52" t="n"/>
      <c r="W241" s="52" t="n"/>
      <c r="X241" s="53" t="str">
        <f>IF(AND(L241&lt;&gt;"",IF(ISNUMBER(U241),AND(U241&gt;=1,U241&lt;=10,U241=INT(U241)),FALSE),IF(ISNUMBER(V241),AND(V241&gt;=1,V241&lt;=10,V241=INT(V241)),FALSE),IF(ISNUMBER(W241),AND(W241&gt;=1,W241&lt;=10,W241=INT(W241)),FALSE)),U241*V241*W241,"")</f>
        <v/>
      </c>
      <c r="Y241" s="54" t="str">
        <f>IF(X241="","",IF(OR(U241&gt;=p_gmin,X241&gt;=p_ipr_crit),"Critique",IF(X241&gt;=p_ipr_act,"Élevée",IF(X241&gt;=p_ipr_watch,"Moyenne","Faible"))))</f>
        <v/>
      </c>
      <c r="Z241" s="57" t="str">
        <f>IF(X241="","",(L241-X241)/L241)</f>
        <v/>
      </c>
      <c r="AA241" s="54" t="str">
        <f>IF(AND(D241="",O241=""),"",IF(O241="",IF(N241="Oui","Action à définir",IF(N241="Non","Sans action","")),IF(R241="Annulée","Annulée",IF(R241="Réalisée",IF(X241="","À réévaluer","Réalisée"),IF(N(Q241)=0,"Échéance manquante",IF(Q241&lt;p_today,"En retard",IF(Q241-p_today&lt;=p_alert,"Échéance proche","Dans les délais")))))))</f>
        <v/>
      </c>
      <c r="AB241" s="58" t="str">
        <f>IF(AND(A241="",B241="",D241="",F241="",H241="",K241="",O241=""),"",IF(D241="","Mode de défaillance manquant",IF(AND(A241&lt;&gt;"",COUNTIF(am_num,A241)&gt;1),"N° en double",IF(F241="","Gravité G manquante",IF(NOT(IF(ISNUMBER(F241),AND(F241&gt;=1,F241&lt;=10,F241=INT(F241)),FALSE)),"G : entier de 1 à 10",IF(H241="","Occurrence O manquante",IF(NOT(IF(ISNUMBER(H241),AND(H241&gt;=1,H241&lt;=10,H241=INT(H241)),FALSE)),"O : entier de 1 à 10",IF(K241="","Détection D manquante",IF(NOT(IF(ISNUMBER(K241),AND(K241&gt;=1,K241&lt;=10,K241=INT(K241)),FALSE)),"D : entier de 1 à 10",IF(G241="","Cause manquante",IF(AND(O241&lt;&gt;"",P241=""),"Responsable manquant",IF(AND(R241&lt;&gt;"",O241=""),"Statut sans action",IF(AND(R241="Réalisée",N(S241)=0),"Date de réalisation manquante",IF(AND(T241&lt;&gt;"",IF(ISNUMBER(T241),T241&lt;0,TRUE)),"Coût invalide",IF(AND(COUNTBLANK(U241:W241)&gt;0,COUNTBLANK(U241:W241)&lt;3),"Cotation après action incomplète",IF(AND(COUNTBLANK(U241:W241)=0,X241=""),"G', O', D' : entiers de 1 à 10",IF(AND(X241&lt;&gt;"",X241&gt;L241),"IPR après action plus élevé","OK")))))))))))))))))</f>
        <v/>
      </c>
      <c r="AC241" s="59" t="str">
        <f>IF(OR(AA241="En retard",AA241="Échéance proche",AA241="Dans les délais",AA241="Échéance manquante",AA241="Action à définir",AA241="À réévaluer"),IF(OR(plan_who="",P241=plan_who),IF(N(Q241)&gt;0,Q241,99999)*1000+ROW(),""),"")</f>
        <v/>
      </c>
      <c r="AD241" s="59" t="str">
        <f>IF(L241="","",L241*1000+1000-ROW())</f>
        <v/>
      </c>
      <c r="AE241" s="59" t="str">
        <f>IF(IF(AA241="En retard",1,IF(AA241="Action à définir",2,IF(AA241="Échéance manquante",3,IF(AA241="Échéance proche",4,IF(AA241="À réévaluer",5,0)))))=0,"",IF(AA241="En retard",1,IF(AA241="Action à définir",2,IF(AA241="Échéance manquante",3,IF(AA241="Échéance proche",4,IF(AA241="À réévaluer",5,0)))))*100000000+IF(N(Q241)&gt;0,Q241,99999)*1000+ROW())</f>
        <v/>
      </c>
      <c r="AF241" s="59" t="str">
        <f>IF(X241&lt;&gt;"",X241,L241)</f>
        <v/>
      </c>
      <c r="AG241" s="59" t="str">
        <f>IF(X241&lt;&gt;"",Y241,IF(L241&lt;&gt;"",M241,""))</f>
        <v/>
      </c>
      <c r="AH241" s="59" t="str">
        <f>IF(L241="","",IF(X241&lt;&gt;"",U241,F241))</f>
        <v/>
      </c>
      <c r="AI241" s="59" t="str">
        <f>IF(L241="","",IF(X241&lt;&gt;"",V241,H241))</f>
        <v/>
      </c>
    </row>
    <row r="242" ht="30" customHeight="1">
      <c r="A242" s="50" t="n"/>
      <c r="B242" s="51" t="n"/>
      <c r="C242" s="51" t="n"/>
      <c r="D242" s="51" t="n"/>
      <c r="E242" s="51" t="n"/>
      <c r="F242" s="52" t="n"/>
      <c r="G242" s="51" t="n"/>
      <c r="H242" s="52" t="n"/>
      <c r="I242" s="51" t="n"/>
      <c r="J242" s="51" t="n"/>
      <c r="K242" s="52" t="n"/>
      <c r="L242" s="53" t="str">
        <f>IF(AND(IF(ISNUMBER(F242),AND(F242&gt;=1,F242&lt;=10,F242=INT(F242)),FALSE),IF(ISNUMBER(H242),AND(H242&gt;=1,H242&lt;=10,H242=INT(H242)),FALSE),IF(ISNUMBER(K242),AND(K242&gt;=1,K242&lt;=10,K242=INT(K242)),FALSE)),F242*H242*K242,"")</f>
        <v/>
      </c>
      <c r="M242" s="54" t="str">
        <f>IF(L242="",IF(D242="","","À coter"),IF(OR(F242&gt;=p_gmin,L242&gt;=p_ipr_crit),"Critique",IF(L242&gt;=p_ipr_act,"Élevée",IF(L242&gt;=p_ipr_watch,"Moyenne","Faible"))))</f>
        <v/>
      </c>
      <c r="N242" s="54" t="str">
        <f>IF(OR(M242="",M242="À coter"),"",IF(OR(M242="Critique",M242="Élevée"),"Oui","Non"))</f>
        <v/>
      </c>
      <c r="O242" s="51" t="n"/>
      <c r="P242" s="51" t="n"/>
      <c r="Q242" s="55" t="n"/>
      <c r="R242" s="50" t="n"/>
      <c r="S242" s="55" t="n"/>
      <c r="T242" s="56" t="n"/>
      <c r="U242" s="52" t="n"/>
      <c r="V242" s="52" t="n"/>
      <c r="W242" s="52" t="n"/>
      <c r="X242" s="53" t="str">
        <f>IF(AND(L242&lt;&gt;"",IF(ISNUMBER(U242),AND(U242&gt;=1,U242&lt;=10,U242=INT(U242)),FALSE),IF(ISNUMBER(V242),AND(V242&gt;=1,V242&lt;=10,V242=INT(V242)),FALSE),IF(ISNUMBER(W242),AND(W242&gt;=1,W242&lt;=10,W242=INT(W242)),FALSE)),U242*V242*W242,"")</f>
        <v/>
      </c>
      <c r="Y242" s="54" t="str">
        <f>IF(X242="","",IF(OR(U242&gt;=p_gmin,X242&gt;=p_ipr_crit),"Critique",IF(X242&gt;=p_ipr_act,"Élevée",IF(X242&gt;=p_ipr_watch,"Moyenne","Faible"))))</f>
        <v/>
      </c>
      <c r="Z242" s="57" t="str">
        <f>IF(X242="","",(L242-X242)/L242)</f>
        <v/>
      </c>
      <c r="AA242" s="54" t="str">
        <f>IF(AND(D242="",O242=""),"",IF(O242="",IF(N242="Oui","Action à définir",IF(N242="Non","Sans action","")),IF(R242="Annulée","Annulée",IF(R242="Réalisée",IF(X242="","À réévaluer","Réalisée"),IF(N(Q242)=0,"Échéance manquante",IF(Q242&lt;p_today,"En retard",IF(Q242-p_today&lt;=p_alert,"Échéance proche","Dans les délais")))))))</f>
        <v/>
      </c>
      <c r="AB242" s="58" t="str">
        <f>IF(AND(A242="",B242="",D242="",F242="",H242="",K242="",O242=""),"",IF(D242="","Mode de défaillance manquant",IF(AND(A242&lt;&gt;"",COUNTIF(am_num,A242)&gt;1),"N° en double",IF(F242="","Gravité G manquante",IF(NOT(IF(ISNUMBER(F242),AND(F242&gt;=1,F242&lt;=10,F242=INT(F242)),FALSE)),"G : entier de 1 à 10",IF(H242="","Occurrence O manquante",IF(NOT(IF(ISNUMBER(H242),AND(H242&gt;=1,H242&lt;=10,H242=INT(H242)),FALSE)),"O : entier de 1 à 10",IF(K242="","Détection D manquante",IF(NOT(IF(ISNUMBER(K242),AND(K242&gt;=1,K242&lt;=10,K242=INT(K242)),FALSE)),"D : entier de 1 à 10",IF(G242="","Cause manquante",IF(AND(O242&lt;&gt;"",P242=""),"Responsable manquant",IF(AND(R242&lt;&gt;"",O242=""),"Statut sans action",IF(AND(R242="Réalisée",N(S242)=0),"Date de réalisation manquante",IF(AND(T242&lt;&gt;"",IF(ISNUMBER(T242),T242&lt;0,TRUE)),"Coût invalide",IF(AND(COUNTBLANK(U242:W242)&gt;0,COUNTBLANK(U242:W242)&lt;3),"Cotation après action incomplète",IF(AND(COUNTBLANK(U242:W242)=0,X242=""),"G', O', D' : entiers de 1 à 10",IF(AND(X242&lt;&gt;"",X242&gt;L242),"IPR après action plus élevé","OK")))))))))))))))))</f>
        <v/>
      </c>
      <c r="AC242" s="59" t="str">
        <f>IF(OR(AA242="En retard",AA242="Échéance proche",AA242="Dans les délais",AA242="Échéance manquante",AA242="Action à définir",AA242="À réévaluer"),IF(OR(plan_who="",P242=plan_who),IF(N(Q242)&gt;0,Q242,99999)*1000+ROW(),""),"")</f>
        <v/>
      </c>
      <c r="AD242" s="59" t="str">
        <f>IF(L242="","",L242*1000+1000-ROW())</f>
        <v/>
      </c>
      <c r="AE242" s="59" t="str">
        <f>IF(IF(AA242="En retard",1,IF(AA242="Action à définir",2,IF(AA242="Échéance manquante",3,IF(AA242="Échéance proche",4,IF(AA242="À réévaluer",5,0)))))=0,"",IF(AA242="En retard",1,IF(AA242="Action à définir",2,IF(AA242="Échéance manquante",3,IF(AA242="Échéance proche",4,IF(AA242="À réévaluer",5,0)))))*100000000+IF(N(Q242)&gt;0,Q242,99999)*1000+ROW())</f>
        <v/>
      </c>
      <c r="AF242" s="59" t="str">
        <f>IF(X242&lt;&gt;"",X242,L242)</f>
        <v/>
      </c>
      <c r="AG242" s="59" t="str">
        <f>IF(X242&lt;&gt;"",Y242,IF(L242&lt;&gt;"",M242,""))</f>
        <v/>
      </c>
      <c r="AH242" s="59" t="str">
        <f>IF(L242="","",IF(X242&lt;&gt;"",U242,F242))</f>
        <v/>
      </c>
      <c r="AI242" s="59" t="str">
        <f>IF(L242="","",IF(X242&lt;&gt;"",V242,H242))</f>
        <v/>
      </c>
    </row>
    <row r="243" ht="30" customHeight="1">
      <c r="A243" s="50" t="n"/>
      <c r="B243" s="51" t="n"/>
      <c r="C243" s="51" t="n"/>
      <c r="D243" s="51" t="n"/>
      <c r="E243" s="51" t="n"/>
      <c r="F243" s="52" t="n"/>
      <c r="G243" s="51" t="n"/>
      <c r="H243" s="52" t="n"/>
      <c r="I243" s="51" t="n"/>
      <c r="J243" s="51" t="n"/>
      <c r="K243" s="52" t="n"/>
      <c r="L243" s="53" t="str">
        <f>IF(AND(IF(ISNUMBER(F243),AND(F243&gt;=1,F243&lt;=10,F243=INT(F243)),FALSE),IF(ISNUMBER(H243),AND(H243&gt;=1,H243&lt;=10,H243=INT(H243)),FALSE),IF(ISNUMBER(K243),AND(K243&gt;=1,K243&lt;=10,K243=INT(K243)),FALSE)),F243*H243*K243,"")</f>
        <v/>
      </c>
      <c r="M243" s="54" t="str">
        <f>IF(L243="",IF(D243="","","À coter"),IF(OR(F243&gt;=p_gmin,L243&gt;=p_ipr_crit),"Critique",IF(L243&gt;=p_ipr_act,"Élevée",IF(L243&gt;=p_ipr_watch,"Moyenne","Faible"))))</f>
        <v/>
      </c>
      <c r="N243" s="54" t="str">
        <f>IF(OR(M243="",M243="À coter"),"",IF(OR(M243="Critique",M243="Élevée"),"Oui","Non"))</f>
        <v/>
      </c>
      <c r="O243" s="51" t="n"/>
      <c r="P243" s="51" t="n"/>
      <c r="Q243" s="55" t="n"/>
      <c r="R243" s="50" t="n"/>
      <c r="S243" s="55" t="n"/>
      <c r="T243" s="56" t="n"/>
      <c r="U243" s="52" t="n"/>
      <c r="V243" s="52" t="n"/>
      <c r="W243" s="52" t="n"/>
      <c r="X243" s="53" t="str">
        <f>IF(AND(L243&lt;&gt;"",IF(ISNUMBER(U243),AND(U243&gt;=1,U243&lt;=10,U243=INT(U243)),FALSE),IF(ISNUMBER(V243),AND(V243&gt;=1,V243&lt;=10,V243=INT(V243)),FALSE),IF(ISNUMBER(W243),AND(W243&gt;=1,W243&lt;=10,W243=INT(W243)),FALSE)),U243*V243*W243,"")</f>
        <v/>
      </c>
      <c r="Y243" s="54" t="str">
        <f>IF(X243="","",IF(OR(U243&gt;=p_gmin,X243&gt;=p_ipr_crit),"Critique",IF(X243&gt;=p_ipr_act,"Élevée",IF(X243&gt;=p_ipr_watch,"Moyenne","Faible"))))</f>
        <v/>
      </c>
      <c r="Z243" s="57" t="str">
        <f>IF(X243="","",(L243-X243)/L243)</f>
        <v/>
      </c>
      <c r="AA243" s="54" t="str">
        <f>IF(AND(D243="",O243=""),"",IF(O243="",IF(N243="Oui","Action à définir",IF(N243="Non","Sans action","")),IF(R243="Annulée","Annulée",IF(R243="Réalisée",IF(X243="","À réévaluer","Réalisée"),IF(N(Q243)=0,"Échéance manquante",IF(Q243&lt;p_today,"En retard",IF(Q243-p_today&lt;=p_alert,"Échéance proche","Dans les délais")))))))</f>
        <v/>
      </c>
      <c r="AB243" s="58" t="str">
        <f>IF(AND(A243="",B243="",D243="",F243="",H243="",K243="",O243=""),"",IF(D243="","Mode de défaillance manquant",IF(AND(A243&lt;&gt;"",COUNTIF(am_num,A243)&gt;1),"N° en double",IF(F243="","Gravité G manquante",IF(NOT(IF(ISNUMBER(F243),AND(F243&gt;=1,F243&lt;=10,F243=INT(F243)),FALSE)),"G : entier de 1 à 10",IF(H243="","Occurrence O manquante",IF(NOT(IF(ISNUMBER(H243),AND(H243&gt;=1,H243&lt;=10,H243=INT(H243)),FALSE)),"O : entier de 1 à 10",IF(K243="","Détection D manquante",IF(NOT(IF(ISNUMBER(K243),AND(K243&gt;=1,K243&lt;=10,K243=INT(K243)),FALSE)),"D : entier de 1 à 10",IF(G243="","Cause manquante",IF(AND(O243&lt;&gt;"",P243=""),"Responsable manquant",IF(AND(R243&lt;&gt;"",O243=""),"Statut sans action",IF(AND(R243="Réalisée",N(S243)=0),"Date de réalisation manquante",IF(AND(T243&lt;&gt;"",IF(ISNUMBER(T243),T243&lt;0,TRUE)),"Coût invalide",IF(AND(COUNTBLANK(U243:W243)&gt;0,COUNTBLANK(U243:W243)&lt;3),"Cotation après action incomplète",IF(AND(COUNTBLANK(U243:W243)=0,X243=""),"G', O', D' : entiers de 1 à 10",IF(AND(X243&lt;&gt;"",X243&gt;L243),"IPR après action plus élevé","OK")))))))))))))))))</f>
        <v/>
      </c>
      <c r="AC243" s="59" t="str">
        <f>IF(OR(AA243="En retard",AA243="Échéance proche",AA243="Dans les délais",AA243="Échéance manquante",AA243="Action à définir",AA243="À réévaluer"),IF(OR(plan_who="",P243=plan_who),IF(N(Q243)&gt;0,Q243,99999)*1000+ROW(),""),"")</f>
        <v/>
      </c>
      <c r="AD243" s="59" t="str">
        <f>IF(L243="","",L243*1000+1000-ROW())</f>
        <v/>
      </c>
      <c r="AE243" s="59" t="str">
        <f>IF(IF(AA243="En retard",1,IF(AA243="Action à définir",2,IF(AA243="Échéance manquante",3,IF(AA243="Échéance proche",4,IF(AA243="À réévaluer",5,0)))))=0,"",IF(AA243="En retard",1,IF(AA243="Action à définir",2,IF(AA243="Échéance manquante",3,IF(AA243="Échéance proche",4,IF(AA243="À réévaluer",5,0)))))*100000000+IF(N(Q243)&gt;0,Q243,99999)*1000+ROW())</f>
        <v/>
      </c>
      <c r="AF243" s="59" t="str">
        <f>IF(X243&lt;&gt;"",X243,L243)</f>
        <v/>
      </c>
      <c r="AG243" s="59" t="str">
        <f>IF(X243&lt;&gt;"",Y243,IF(L243&lt;&gt;"",M243,""))</f>
        <v/>
      </c>
      <c r="AH243" s="59" t="str">
        <f>IF(L243="","",IF(X243&lt;&gt;"",U243,F243))</f>
        <v/>
      </c>
      <c r="AI243" s="59" t="str">
        <f>IF(L243="","",IF(X243&lt;&gt;"",V243,H243))</f>
        <v/>
      </c>
    </row>
    <row r="244" ht="30" customHeight="1">
      <c r="A244" s="50" t="n"/>
      <c r="B244" s="51" t="n"/>
      <c r="C244" s="51" t="n"/>
      <c r="D244" s="51" t="n"/>
      <c r="E244" s="51" t="n"/>
      <c r="F244" s="52" t="n"/>
      <c r="G244" s="51" t="n"/>
      <c r="H244" s="52" t="n"/>
      <c r="I244" s="51" t="n"/>
      <c r="J244" s="51" t="n"/>
      <c r="K244" s="52" t="n"/>
      <c r="L244" s="53" t="str">
        <f>IF(AND(IF(ISNUMBER(F244),AND(F244&gt;=1,F244&lt;=10,F244=INT(F244)),FALSE),IF(ISNUMBER(H244),AND(H244&gt;=1,H244&lt;=10,H244=INT(H244)),FALSE),IF(ISNUMBER(K244),AND(K244&gt;=1,K244&lt;=10,K244=INT(K244)),FALSE)),F244*H244*K244,"")</f>
        <v/>
      </c>
      <c r="M244" s="54" t="str">
        <f>IF(L244="",IF(D244="","","À coter"),IF(OR(F244&gt;=p_gmin,L244&gt;=p_ipr_crit),"Critique",IF(L244&gt;=p_ipr_act,"Élevée",IF(L244&gt;=p_ipr_watch,"Moyenne","Faible"))))</f>
        <v/>
      </c>
      <c r="N244" s="54" t="str">
        <f>IF(OR(M244="",M244="À coter"),"",IF(OR(M244="Critique",M244="Élevée"),"Oui","Non"))</f>
        <v/>
      </c>
      <c r="O244" s="51" t="n"/>
      <c r="P244" s="51" t="n"/>
      <c r="Q244" s="55" t="n"/>
      <c r="R244" s="50" t="n"/>
      <c r="S244" s="55" t="n"/>
      <c r="T244" s="56" t="n"/>
      <c r="U244" s="52" t="n"/>
      <c r="V244" s="52" t="n"/>
      <c r="W244" s="52" t="n"/>
      <c r="X244" s="53" t="str">
        <f>IF(AND(L244&lt;&gt;"",IF(ISNUMBER(U244),AND(U244&gt;=1,U244&lt;=10,U244=INT(U244)),FALSE),IF(ISNUMBER(V244),AND(V244&gt;=1,V244&lt;=10,V244=INT(V244)),FALSE),IF(ISNUMBER(W244),AND(W244&gt;=1,W244&lt;=10,W244=INT(W244)),FALSE)),U244*V244*W244,"")</f>
        <v/>
      </c>
      <c r="Y244" s="54" t="str">
        <f>IF(X244="","",IF(OR(U244&gt;=p_gmin,X244&gt;=p_ipr_crit),"Critique",IF(X244&gt;=p_ipr_act,"Élevée",IF(X244&gt;=p_ipr_watch,"Moyenne","Faible"))))</f>
        <v/>
      </c>
      <c r="Z244" s="57" t="str">
        <f>IF(X244="","",(L244-X244)/L244)</f>
        <v/>
      </c>
      <c r="AA244" s="54" t="str">
        <f>IF(AND(D244="",O244=""),"",IF(O244="",IF(N244="Oui","Action à définir",IF(N244="Non","Sans action","")),IF(R244="Annulée","Annulée",IF(R244="Réalisée",IF(X244="","À réévaluer","Réalisée"),IF(N(Q244)=0,"Échéance manquante",IF(Q244&lt;p_today,"En retard",IF(Q244-p_today&lt;=p_alert,"Échéance proche","Dans les délais")))))))</f>
        <v/>
      </c>
      <c r="AB244" s="58" t="str">
        <f>IF(AND(A244="",B244="",D244="",F244="",H244="",K244="",O244=""),"",IF(D244="","Mode de défaillance manquant",IF(AND(A244&lt;&gt;"",COUNTIF(am_num,A244)&gt;1),"N° en double",IF(F244="","Gravité G manquante",IF(NOT(IF(ISNUMBER(F244),AND(F244&gt;=1,F244&lt;=10,F244=INT(F244)),FALSE)),"G : entier de 1 à 10",IF(H244="","Occurrence O manquante",IF(NOT(IF(ISNUMBER(H244),AND(H244&gt;=1,H244&lt;=10,H244=INT(H244)),FALSE)),"O : entier de 1 à 10",IF(K244="","Détection D manquante",IF(NOT(IF(ISNUMBER(K244),AND(K244&gt;=1,K244&lt;=10,K244=INT(K244)),FALSE)),"D : entier de 1 à 10",IF(G244="","Cause manquante",IF(AND(O244&lt;&gt;"",P244=""),"Responsable manquant",IF(AND(R244&lt;&gt;"",O244=""),"Statut sans action",IF(AND(R244="Réalisée",N(S244)=0),"Date de réalisation manquante",IF(AND(T244&lt;&gt;"",IF(ISNUMBER(T244),T244&lt;0,TRUE)),"Coût invalide",IF(AND(COUNTBLANK(U244:W244)&gt;0,COUNTBLANK(U244:W244)&lt;3),"Cotation après action incomplète",IF(AND(COUNTBLANK(U244:W244)=0,X244=""),"G', O', D' : entiers de 1 à 10",IF(AND(X244&lt;&gt;"",X244&gt;L244),"IPR après action plus élevé","OK")))))))))))))))))</f>
        <v/>
      </c>
      <c r="AC244" s="59" t="str">
        <f>IF(OR(AA244="En retard",AA244="Échéance proche",AA244="Dans les délais",AA244="Échéance manquante",AA244="Action à définir",AA244="À réévaluer"),IF(OR(plan_who="",P244=plan_who),IF(N(Q244)&gt;0,Q244,99999)*1000+ROW(),""),"")</f>
        <v/>
      </c>
      <c r="AD244" s="59" t="str">
        <f>IF(L244="","",L244*1000+1000-ROW())</f>
        <v/>
      </c>
      <c r="AE244" s="59" t="str">
        <f>IF(IF(AA244="En retard",1,IF(AA244="Action à définir",2,IF(AA244="Échéance manquante",3,IF(AA244="Échéance proche",4,IF(AA244="À réévaluer",5,0)))))=0,"",IF(AA244="En retard",1,IF(AA244="Action à définir",2,IF(AA244="Échéance manquante",3,IF(AA244="Échéance proche",4,IF(AA244="À réévaluer",5,0)))))*100000000+IF(N(Q244)&gt;0,Q244,99999)*1000+ROW())</f>
        <v/>
      </c>
      <c r="AF244" s="59" t="str">
        <f>IF(X244&lt;&gt;"",X244,L244)</f>
        <v/>
      </c>
      <c r="AG244" s="59" t="str">
        <f>IF(X244&lt;&gt;"",Y244,IF(L244&lt;&gt;"",M244,""))</f>
        <v/>
      </c>
      <c r="AH244" s="59" t="str">
        <f>IF(L244="","",IF(X244&lt;&gt;"",U244,F244))</f>
        <v/>
      </c>
      <c r="AI244" s="59" t="str">
        <f>IF(L244="","",IF(X244&lt;&gt;"",V244,H244))</f>
        <v/>
      </c>
    </row>
    <row r="245" ht="30" customHeight="1">
      <c r="A245" s="50" t="n"/>
      <c r="B245" s="51" t="n"/>
      <c r="C245" s="51" t="n"/>
      <c r="D245" s="51" t="n"/>
      <c r="E245" s="51" t="n"/>
      <c r="F245" s="52" t="n"/>
      <c r="G245" s="51" t="n"/>
      <c r="H245" s="52" t="n"/>
      <c r="I245" s="51" t="n"/>
      <c r="J245" s="51" t="n"/>
      <c r="K245" s="52" t="n"/>
      <c r="L245" s="53" t="str">
        <f>IF(AND(IF(ISNUMBER(F245),AND(F245&gt;=1,F245&lt;=10,F245=INT(F245)),FALSE),IF(ISNUMBER(H245),AND(H245&gt;=1,H245&lt;=10,H245=INT(H245)),FALSE),IF(ISNUMBER(K245),AND(K245&gt;=1,K245&lt;=10,K245=INT(K245)),FALSE)),F245*H245*K245,"")</f>
        <v/>
      </c>
      <c r="M245" s="54" t="str">
        <f>IF(L245="",IF(D245="","","À coter"),IF(OR(F245&gt;=p_gmin,L245&gt;=p_ipr_crit),"Critique",IF(L245&gt;=p_ipr_act,"Élevée",IF(L245&gt;=p_ipr_watch,"Moyenne","Faible"))))</f>
        <v/>
      </c>
      <c r="N245" s="54" t="str">
        <f>IF(OR(M245="",M245="À coter"),"",IF(OR(M245="Critique",M245="Élevée"),"Oui","Non"))</f>
        <v/>
      </c>
      <c r="O245" s="51" t="n"/>
      <c r="P245" s="51" t="n"/>
      <c r="Q245" s="55" t="n"/>
      <c r="R245" s="50" t="n"/>
      <c r="S245" s="55" t="n"/>
      <c r="T245" s="56" t="n"/>
      <c r="U245" s="52" t="n"/>
      <c r="V245" s="52" t="n"/>
      <c r="W245" s="52" t="n"/>
      <c r="X245" s="53" t="str">
        <f>IF(AND(L245&lt;&gt;"",IF(ISNUMBER(U245),AND(U245&gt;=1,U245&lt;=10,U245=INT(U245)),FALSE),IF(ISNUMBER(V245),AND(V245&gt;=1,V245&lt;=10,V245=INT(V245)),FALSE),IF(ISNUMBER(W245),AND(W245&gt;=1,W245&lt;=10,W245=INT(W245)),FALSE)),U245*V245*W245,"")</f>
        <v/>
      </c>
      <c r="Y245" s="54" t="str">
        <f>IF(X245="","",IF(OR(U245&gt;=p_gmin,X245&gt;=p_ipr_crit),"Critique",IF(X245&gt;=p_ipr_act,"Élevée",IF(X245&gt;=p_ipr_watch,"Moyenne","Faible"))))</f>
        <v/>
      </c>
      <c r="Z245" s="57" t="str">
        <f>IF(X245="","",(L245-X245)/L245)</f>
        <v/>
      </c>
      <c r="AA245" s="54" t="str">
        <f>IF(AND(D245="",O245=""),"",IF(O245="",IF(N245="Oui","Action à définir",IF(N245="Non","Sans action","")),IF(R245="Annulée","Annulée",IF(R245="Réalisée",IF(X245="","À réévaluer","Réalisée"),IF(N(Q245)=0,"Échéance manquante",IF(Q245&lt;p_today,"En retard",IF(Q245-p_today&lt;=p_alert,"Échéance proche","Dans les délais")))))))</f>
        <v/>
      </c>
      <c r="AB245" s="58" t="str">
        <f>IF(AND(A245="",B245="",D245="",F245="",H245="",K245="",O245=""),"",IF(D245="","Mode de défaillance manquant",IF(AND(A245&lt;&gt;"",COUNTIF(am_num,A245)&gt;1),"N° en double",IF(F245="","Gravité G manquante",IF(NOT(IF(ISNUMBER(F245),AND(F245&gt;=1,F245&lt;=10,F245=INT(F245)),FALSE)),"G : entier de 1 à 10",IF(H245="","Occurrence O manquante",IF(NOT(IF(ISNUMBER(H245),AND(H245&gt;=1,H245&lt;=10,H245=INT(H245)),FALSE)),"O : entier de 1 à 10",IF(K245="","Détection D manquante",IF(NOT(IF(ISNUMBER(K245),AND(K245&gt;=1,K245&lt;=10,K245=INT(K245)),FALSE)),"D : entier de 1 à 10",IF(G245="","Cause manquante",IF(AND(O245&lt;&gt;"",P245=""),"Responsable manquant",IF(AND(R245&lt;&gt;"",O245=""),"Statut sans action",IF(AND(R245="Réalisée",N(S245)=0),"Date de réalisation manquante",IF(AND(T245&lt;&gt;"",IF(ISNUMBER(T245),T245&lt;0,TRUE)),"Coût invalide",IF(AND(COUNTBLANK(U245:W245)&gt;0,COUNTBLANK(U245:W245)&lt;3),"Cotation après action incomplète",IF(AND(COUNTBLANK(U245:W245)=0,X245=""),"G', O', D' : entiers de 1 à 10",IF(AND(X245&lt;&gt;"",X245&gt;L245),"IPR après action plus élevé","OK")))))))))))))))))</f>
        <v/>
      </c>
      <c r="AC245" s="59" t="str">
        <f>IF(OR(AA245="En retard",AA245="Échéance proche",AA245="Dans les délais",AA245="Échéance manquante",AA245="Action à définir",AA245="À réévaluer"),IF(OR(plan_who="",P245=plan_who),IF(N(Q245)&gt;0,Q245,99999)*1000+ROW(),""),"")</f>
        <v/>
      </c>
      <c r="AD245" s="59" t="str">
        <f>IF(L245="","",L245*1000+1000-ROW())</f>
        <v/>
      </c>
      <c r="AE245" s="59" t="str">
        <f>IF(IF(AA245="En retard",1,IF(AA245="Action à définir",2,IF(AA245="Échéance manquante",3,IF(AA245="Échéance proche",4,IF(AA245="À réévaluer",5,0)))))=0,"",IF(AA245="En retard",1,IF(AA245="Action à définir",2,IF(AA245="Échéance manquante",3,IF(AA245="Échéance proche",4,IF(AA245="À réévaluer",5,0)))))*100000000+IF(N(Q245)&gt;0,Q245,99999)*1000+ROW())</f>
        <v/>
      </c>
      <c r="AF245" s="59" t="str">
        <f>IF(X245&lt;&gt;"",X245,L245)</f>
        <v/>
      </c>
      <c r="AG245" s="59" t="str">
        <f>IF(X245&lt;&gt;"",Y245,IF(L245&lt;&gt;"",M245,""))</f>
        <v/>
      </c>
      <c r="AH245" s="59" t="str">
        <f>IF(L245="","",IF(X245&lt;&gt;"",U245,F245))</f>
        <v/>
      </c>
      <c r="AI245" s="59" t="str">
        <f>IF(L245="","",IF(X245&lt;&gt;"",V245,H245))</f>
        <v/>
      </c>
    </row>
    <row r="246" ht="30" customHeight="1">
      <c r="A246" s="50" t="n"/>
      <c r="B246" s="51" t="n"/>
      <c r="C246" s="51" t="n"/>
      <c r="D246" s="51" t="n"/>
      <c r="E246" s="51" t="n"/>
      <c r="F246" s="52" t="n"/>
      <c r="G246" s="51" t="n"/>
      <c r="H246" s="52" t="n"/>
      <c r="I246" s="51" t="n"/>
      <c r="J246" s="51" t="n"/>
      <c r="K246" s="52" t="n"/>
      <c r="L246" s="53" t="str">
        <f>IF(AND(IF(ISNUMBER(F246),AND(F246&gt;=1,F246&lt;=10,F246=INT(F246)),FALSE),IF(ISNUMBER(H246),AND(H246&gt;=1,H246&lt;=10,H246=INT(H246)),FALSE),IF(ISNUMBER(K246),AND(K246&gt;=1,K246&lt;=10,K246=INT(K246)),FALSE)),F246*H246*K246,"")</f>
        <v/>
      </c>
      <c r="M246" s="54" t="str">
        <f>IF(L246="",IF(D246="","","À coter"),IF(OR(F246&gt;=p_gmin,L246&gt;=p_ipr_crit),"Critique",IF(L246&gt;=p_ipr_act,"Élevée",IF(L246&gt;=p_ipr_watch,"Moyenne","Faible"))))</f>
        <v/>
      </c>
      <c r="N246" s="54" t="str">
        <f>IF(OR(M246="",M246="À coter"),"",IF(OR(M246="Critique",M246="Élevée"),"Oui","Non"))</f>
        <v/>
      </c>
      <c r="O246" s="51" t="n"/>
      <c r="P246" s="51" t="n"/>
      <c r="Q246" s="55" t="n"/>
      <c r="R246" s="50" t="n"/>
      <c r="S246" s="55" t="n"/>
      <c r="T246" s="56" t="n"/>
      <c r="U246" s="52" t="n"/>
      <c r="V246" s="52" t="n"/>
      <c r="W246" s="52" t="n"/>
      <c r="X246" s="53" t="str">
        <f>IF(AND(L246&lt;&gt;"",IF(ISNUMBER(U246),AND(U246&gt;=1,U246&lt;=10,U246=INT(U246)),FALSE),IF(ISNUMBER(V246),AND(V246&gt;=1,V246&lt;=10,V246=INT(V246)),FALSE),IF(ISNUMBER(W246),AND(W246&gt;=1,W246&lt;=10,W246=INT(W246)),FALSE)),U246*V246*W246,"")</f>
        <v/>
      </c>
      <c r="Y246" s="54" t="str">
        <f>IF(X246="","",IF(OR(U246&gt;=p_gmin,X246&gt;=p_ipr_crit),"Critique",IF(X246&gt;=p_ipr_act,"Élevée",IF(X246&gt;=p_ipr_watch,"Moyenne","Faible"))))</f>
        <v/>
      </c>
      <c r="Z246" s="57" t="str">
        <f>IF(X246="","",(L246-X246)/L246)</f>
        <v/>
      </c>
      <c r="AA246" s="54" t="str">
        <f>IF(AND(D246="",O246=""),"",IF(O246="",IF(N246="Oui","Action à définir",IF(N246="Non","Sans action","")),IF(R246="Annulée","Annulée",IF(R246="Réalisée",IF(X246="","À réévaluer","Réalisée"),IF(N(Q246)=0,"Échéance manquante",IF(Q246&lt;p_today,"En retard",IF(Q246-p_today&lt;=p_alert,"Échéance proche","Dans les délais")))))))</f>
        <v/>
      </c>
      <c r="AB246" s="58" t="str">
        <f>IF(AND(A246="",B246="",D246="",F246="",H246="",K246="",O246=""),"",IF(D246="","Mode de défaillance manquant",IF(AND(A246&lt;&gt;"",COUNTIF(am_num,A246)&gt;1),"N° en double",IF(F246="","Gravité G manquante",IF(NOT(IF(ISNUMBER(F246),AND(F246&gt;=1,F246&lt;=10,F246=INT(F246)),FALSE)),"G : entier de 1 à 10",IF(H246="","Occurrence O manquante",IF(NOT(IF(ISNUMBER(H246),AND(H246&gt;=1,H246&lt;=10,H246=INT(H246)),FALSE)),"O : entier de 1 à 10",IF(K246="","Détection D manquante",IF(NOT(IF(ISNUMBER(K246),AND(K246&gt;=1,K246&lt;=10,K246=INT(K246)),FALSE)),"D : entier de 1 à 10",IF(G246="","Cause manquante",IF(AND(O246&lt;&gt;"",P246=""),"Responsable manquant",IF(AND(R246&lt;&gt;"",O246=""),"Statut sans action",IF(AND(R246="Réalisée",N(S246)=0),"Date de réalisation manquante",IF(AND(T246&lt;&gt;"",IF(ISNUMBER(T246),T246&lt;0,TRUE)),"Coût invalide",IF(AND(COUNTBLANK(U246:W246)&gt;0,COUNTBLANK(U246:W246)&lt;3),"Cotation après action incomplète",IF(AND(COUNTBLANK(U246:W246)=0,X246=""),"G', O', D' : entiers de 1 à 10",IF(AND(X246&lt;&gt;"",X246&gt;L246),"IPR après action plus élevé","OK")))))))))))))))))</f>
        <v/>
      </c>
      <c r="AC246" s="59" t="str">
        <f>IF(OR(AA246="En retard",AA246="Échéance proche",AA246="Dans les délais",AA246="Échéance manquante",AA246="Action à définir",AA246="À réévaluer"),IF(OR(plan_who="",P246=plan_who),IF(N(Q246)&gt;0,Q246,99999)*1000+ROW(),""),"")</f>
        <v/>
      </c>
      <c r="AD246" s="59" t="str">
        <f>IF(L246="","",L246*1000+1000-ROW())</f>
        <v/>
      </c>
      <c r="AE246" s="59" t="str">
        <f>IF(IF(AA246="En retard",1,IF(AA246="Action à définir",2,IF(AA246="Échéance manquante",3,IF(AA246="Échéance proche",4,IF(AA246="À réévaluer",5,0)))))=0,"",IF(AA246="En retard",1,IF(AA246="Action à définir",2,IF(AA246="Échéance manquante",3,IF(AA246="Échéance proche",4,IF(AA246="À réévaluer",5,0)))))*100000000+IF(N(Q246)&gt;0,Q246,99999)*1000+ROW())</f>
        <v/>
      </c>
      <c r="AF246" s="59" t="str">
        <f>IF(X246&lt;&gt;"",X246,L246)</f>
        <v/>
      </c>
      <c r="AG246" s="59" t="str">
        <f>IF(X246&lt;&gt;"",Y246,IF(L246&lt;&gt;"",M246,""))</f>
        <v/>
      </c>
      <c r="AH246" s="59" t="str">
        <f>IF(L246="","",IF(X246&lt;&gt;"",U246,F246))</f>
        <v/>
      </c>
      <c r="AI246" s="59" t="str">
        <f>IF(L246="","",IF(X246&lt;&gt;"",V246,H246))</f>
        <v/>
      </c>
    </row>
    <row r="247" ht="30" customHeight="1">
      <c r="A247" s="50" t="n"/>
      <c r="B247" s="51" t="n"/>
      <c r="C247" s="51" t="n"/>
      <c r="D247" s="51" t="n"/>
      <c r="E247" s="51" t="n"/>
      <c r="F247" s="52" t="n"/>
      <c r="G247" s="51" t="n"/>
      <c r="H247" s="52" t="n"/>
      <c r="I247" s="51" t="n"/>
      <c r="J247" s="51" t="n"/>
      <c r="K247" s="52" t="n"/>
      <c r="L247" s="53" t="str">
        <f>IF(AND(IF(ISNUMBER(F247),AND(F247&gt;=1,F247&lt;=10,F247=INT(F247)),FALSE),IF(ISNUMBER(H247),AND(H247&gt;=1,H247&lt;=10,H247=INT(H247)),FALSE),IF(ISNUMBER(K247),AND(K247&gt;=1,K247&lt;=10,K247=INT(K247)),FALSE)),F247*H247*K247,"")</f>
        <v/>
      </c>
      <c r="M247" s="54" t="str">
        <f>IF(L247="",IF(D247="","","À coter"),IF(OR(F247&gt;=p_gmin,L247&gt;=p_ipr_crit),"Critique",IF(L247&gt;=p_ipr_act,"Élevée",IF(L247&gt;=p_ipr_watch,"Moyenne","Faible"))))</f>
        <v/>
      </c>
      <c r="N247" s="54" t="str">
        <f>IF(OR(M247="",M247="À coter"),"",IF(OR(M247="Critique",M247="Élevée"),"Oui","Non"))</f>
        <v/>
      </c>
      <c r="O247" s="51" t="n"/>
      <c r="P247" s="51" t="n"/>
      <c r="Q247" s="55" t="n"/>
      <c r="R247" s="50" t="n"/>
      <c r="S247" s="55" t="n"/>
      <c r="T247" s="56" t="n"/>
      <c r="U247" s="52" t="n"/>
      <c r="V247" s="52" t="n"/>
      <c r="W247" s="52" t="n"/>
      <c r="X247" s="53" t="str">
        <f>IF(AND(L247&lt;&gt;"",IF(ISNUMBER(U247),AND(U247&gt;=1,U247&lt;=10,U247=INT(U247)),FALSE),IF(ISNUMBER(V247),AND(V247&gt;=1,V247&lt;=10,V247=INT(V247)),FALSE),IF(ISNUMBER(W247),AND(W247&gt;=1,W247&lt;=10,W247=INT(W247)),FALSE)),U247*V247*W247,"")</f>
        <v/>
      </c>
      <c r="Y247" s="54" t="str">
        <f>IF(X247="","",IF(OR(U247&gt;=p_gmin,X247&gt;=p_ipr_crit),"Critique",IF(X247&gt;=p_ipr_act,"Élevée",IF(X247&gt;=p_ipr_watch,"Moyenne","Faible"))))</f>
        <v/>
      </c>
      <c r="Z247" s="57" t="str">
        <f>IF(X247="","",(L247-X247)/L247)</f>
        <v/>
      </c>
      <c r="AA247" s="54" t="str">
        <f>IF(AND(D247="",O247=""),"",IF(O247="",IF(N247="Oui","Action à définir",IF(N247="Non","Sans action","")),IF(R247="Annulée","Annulée",IF(R247="Réalisée",IF(X247="","À réévaluer","Réalisée"),IF(N(Q247)=0,"Échéance manquante",IF(Q247&lt;p_today,"En retard",IF(Q247-p_today&lt;=p_alert,"Échéance proche","Dans les délais")))))))</f>
        <v/>
      </c>
      <c r="AB247" s="58" t="str">
        <f>IF(AND(A247="",B247="",D247="",F247="",H247="",K247="",O247=""),"",IF(D247="","Mode de défaillance manquant",IF(AND(A247&lt;&gt;"",COUNTIF(am_num,A247)&gt;1),"N° en double",IF(F247="","Gravité G manquante",IF(NOT(IF(ISNUMBER(F247),AND(F247&gt;=1,F247&lt;=10,F247=INT(F247)),FALSE)),"G : entier de 1 à 10",IF(H247="","Occurrence O manquante",IF(NOT(IF(ISNUMBER(H247),AND(H247&gt;=1,H247&lt;=10,H247=INT(H247)),FALSE)),"O : entier de 1 à 10",IF(K247="","Détection D manquante",IF(NOT(IF(ISNUMBER(K247),AND(K247&gt;=1,K247&lt;=10,K247=INT(K247)),FALSE)),"D : entier de 1 à 10",IF(G247="","Cause manquante",IF(AND(O247&lt;&gt;"",P247=""),"Responsable manquant",IF(AND(R247&lt;&gt;"",O247=""),"Statut sans action",IF(AND(R247="Réalisée",N(S247)=0),"Date de réalisation manquante",IF(AND(T247&lt;&gt;"",IF(ISNUMBER(T247),T247&lt;0,TRUE)),"Coût invalide",IF(AND(COUNTBLANK(U247:W247)&gt;0,COUNTBLANK(U247:W247)&lt;3),"Cotation après action incomplète",IF(AND(COUNTBLANK(U247:W247)=0,X247=""),"G', O', D' : entiers de 1 à 10",IF(AND(X247&lt;&gt;"",X247&gt;L247),"IPR après action plus élevé","OK")))))))))))))))))</f>
        <v/>
      </c>
      <c r="AC247" s="59" t="str">
        <f>IF(OR(AA247="En retard",AA247="Échéance proche",AA247="Dans les délais",AA247="Échéance manquante",AA247="Action à définir",AA247="À réévaluer"),IF(OR(plan_who="",P247=plan_who),IF(N(Q247)&gt;0,Q247,99999)*1000+ROW(),""),"")</f>
        <v/>
      </c>
      <c r="AD247" s="59" t="str">
        <f>IF(L247="","",L247*1000+1000-ROW())</f>
        <v/>
      </c>
      <c r="AE247" s="59" t="str">
        <f>IF(IF(AA247="En retard",1,IF(AA247="Action à définir",2,IF(AA247="Échéance manquante",3,IF(AA247="Échéance proche",4,IF(AA247="À réévaluer",5,0)))))=0,"",IF(AA247="En retard",1,IF(AA247="Action à définir",2,IF(AA247="Échéance manquante",3,IF(AA247="Échéance proche",4,IF(AA247="À réévaluer",5,0)))))*100000000+IF(N(Q247)&gt;0,Q247,99999)*1000+ROW())</f>
        <v/>
      </c>
      <c r="AF247" s="59" t="str">
        <f>IF(X247&lt;&gt;"",X247,L247)</f>
        <v/>
      </c>
      <c r="AG247" s="59" t="str">
        <f>IF(X247&lt;&gt;"",Y247,IF(L247&lt;&gt;"",M247,""))</f>
        <v/>
      </c>
      <c r="AH247" s="59" t="str">
        <f>IF(L247="","",IF(X247&lt;&gt;"",U247,F247))</f>
        <v/>
      </c>
      <c r="AI247" s="59" t="str">
        <f>IF(L247="","",IF(X247&lt;&gt;"",V247,H247))</f>
        <v/>
      </c>
    </row>
    <row r="248" ht="30" customHeight="1">
      <c r="A248" s="50" t="n"/>
      <c r="B248" s="51" t="n"/>
      <c r="C248" s="51" t="n"/>
      <c r="D248" s="51" t="n"/>
      <c r="E248" s="51" t="n"/>
      <c r="F248" s="52" t="n"/>
      <c r="G248" s="51" t="n"/>
      <c r="H248" s="52" t="n"/>
      <c r="I248" s="51" t="n"/>
      <c r="J248" s="51" t="n"/>
      <c r="K248" s="52" t="n"/>
      <c r="L248" s="53" t="str">
        <f>IF(AND(IF(ISNUMBER(F248),AND(F248&gt;=1,F248&lt;=10,F248=INT(F248)),FALSE),IF(ISNUMBER(H248),AND(H248&gt;=1,H248&lt;=10,H248=INT(H248)),FALSE),IF(ISNUMBER(K248),AND(K248&gt;=1,K248&lt;=10,K248=INT(K248)),FALSE)),F248*H248*K248,"")</f>
        <v/>
      </c>
      <c r="M248" s="54" t="str">
        <f>IF(L248="",IF(D248="","","À coter"),IF(OR(F248&gt;=p_gmin,L248&gt;=p_ipr_crit),"Critique",IF(L248&gt;=p_ipr_act,"Élevée",IF(L248&gt;=p_ipr_watch,"Moyenne","Faible"))))</f>
        <v/>
      </c>
      <c r="N248" s="54" t="str">
        <f>IF(OR(M248="",M248="À coter"),"",IF(OR(M248="Critique",M248="Élevée"),"Oui","Non"))</f>
        <v/>
      </c>
      <c r="O248" s="51" t="n"/>
      <c r="P248" s="51" t="n"/>
      <c r="Q248" s="55" t="n"/>
      <c r="R248" s="50" t="n"/>
      <c r="S248" s="55" t="n"/>
      <c r="T248" s="56" t="n"/>
      <c r="U248" s="52" t="n"/>
      <c r="V248" s="52" t="n"/>
      <c r="W248" s="52" t="n"/>
      <c r="X248" s="53" t="str">
        <f>IF(AND(L248&lt;&gt;"",IF(ISNUMBER(U248),AND(U248&gt;=1,U248&lt;=10,U248=INT(U248)),FALSE),IF(ISNUMBER(V248),AND(V248&gt;=1,V248&lt;=10,V248=INT(V248)),FALSE),IF(ISNUMBER(W248),AND(W248&gt;=1,W248&lt;=10,W248=INT(W248)),FALSE)),U248*V248*W248,"")</f>
        <v/>
      </c>
      <c r="Y248" s="54" t="str">
        <f>IF(X248="","",IF(OR(U248&gt;=p_gmin,X248&gt;=p_ipr_crit),"Critique",IF(X248&gt;=p_ipr_act,"Élevée",IF(X248&gt;=p_ipr_watch,"Moyenne","Faible"))))</f>
        <v/>
      </c>
      <c r="Z248" s="57" t="str">
        <f>IF(X248="","",(L248-X248)/L248)</f>
        <v/>
      </c>
      <c r="AA248" s="54" t="str">
        <f>IF(AND(D248="",O248=""),"",IF(O248="",IF(N248="Oui","Action à définir",IF(N248="Non","Sans action","")),IF(R248="Annulée","Annulée",IF(R248="Réalisée",IF(X248="","À réévaluer","Réalisée"),IF(N(Q248)=0,"Échéance manquante",IF(Q248&lt;p_today,"En retard",IF(Q248-p_today&lt;=p_alert,"Échéance proche","Dans les délais")))))))</f>
        <v/>
      </c>
      <c r="AB248" s="58" t="str">
        <f>IF(AND(A248="",B248="",D248="",F248="",H248="",K248="",O248=""),"",IF(D248="","Mode de défaillance manquant",IF(AND(A248&lt;&gt;"",COUNTIF(am_num,A248)&gt;1),"N° en double",IF(F248="","Gravité G manquante",IF(NOT(IF(ISNUMBER(F248),AND(F248&gt;=1,F248&lt;=10,F248=INT(F248)),FALSE)),"G : entier de 1 à 10",IF(H248="","Occurrence O manquante",IF(NOT(IF(ISNUMBER(H248),AND(H248&gt;=1,H248&lt;=10,H248=INT(H248)),FALSE)),"O : entier de 1 à 10",IF(K248="","Détection D manquante",IF(NOT(IF(ISNUMBER(K248),AND(K248&gt;=1,K248&lt;=10,K248=INT(K248)),FALSE)),"D : entier de 1 à 10",IF(G248="","Cause manquante",IF(AND(O248&lt;&gt;"",P248=""),"Responsable manquant",IF(AND(R248&lt;&gt;"",O248=""),"Statut sans action",IF(AND(R248="Réalisée",N(S248)=0),"Date de réalisation manquante",IF(AND(T248&lt;&gt;"",IF(ISNUMBER(T248),T248&lt;0,TRUE)),"Coût invalide",IF(AND(COUNTBLANK(U248:W248)&gt;0,COUNTBLANK(U248:W248)&lt;3),"Cotation après action incomplète",IF(AND(COUNTBLANK(U248:W248)=0,X248=""),"G', O', D' : entiers de 1 à 10",IF(AND(X248&lt;&gt;"",X248&gt;L248),"IPR après action plus élevé","OK")))))))))))))))))</f>
        <v/>
      </c>
      <c r="AC248" s="59" t="str">
        <f>IF(OR(AA248="En retard",AA248="Échéance proche",AA248="Dans les délais",AA248="Échéance manquante",AA248="Action à définir",AA248="À réévaluer"),IF(OR(plan_who="",P248=plan_who),IF(N(Q248)&gt;0,Q248,99999)*1000+ROW(),""),"")</f>
        <v/>
      </c>
      <c r="AD248" s="59" t="str">
        <f>IF(L248="","",L248*1000+1000-ROW())</f>
        <v/>
      </c>
      <c r="AE248" s="59" t="str">
        <f>IF(IF(AA248="En retard",1,IF(AA248="Action à définir",2,IF(AA248="Échéance manquante",3,IF(AA248="Échéance proche",4,IF(AA248="À réévaluer",5,0)))))=0,"",IF(AA248="En retard",1,IF(AA248="Action à définir",2,IF(AA248="Échéance manquante",3,IF(AA248="Échéance proche",4,IF(AA248="À réévaluer",5,0)))))*100000000+IF(N(Q248)&gt;0,Q248,99999)*1000+ROW())</f>
        <v/>
      </c>
      <c r="AF248" s="59" t="str">
        <f>IF(X248&lt;&gt;"",X248,L248)</f>
        <v/>
      </c>
      <c r="AG248" s="59" t="str">
        <f>IF(X248&lt;&gt;"",Y248,IF(L248&lt;&gt;"",M248,""))</f>
        <v/>
      </c>
      <c r="AH248" s="59" t="str">
        <f>IF(L248="","",IF(X248&lt;&gt;"",U248,F248))</f>
        <v/>
      </c>
      <c r="AI248" s="59" t="str">
        <f>IF(L248="","",IF(X248&lt;&gt;"",V248,H248))</f>
        <v/>
      </c>
    </row>
    <row r="249" ht="30" customHeight="1">
      <c r="A249" s="50" t="n"/>
      <c r="B249" s="51" t="n"/>
      <c r="C249" s="51" t="n"/>
      <c r="D249" s="51" t="n"/>
      <c r="E249" s="51" t="n"/>
      <c r="F249" s="52" t="n"/>
      <c r="G249" s="51" t="n"/>
      <c r="H249" s="52" t="n"/>
      <c r="I249" s="51" t="n"/>
      <c r="J249" s="51" t="n"/>
      <c r="K249" s="52" t="n"/>
      <c r="L249" s="53" t="str">
        <f>IF(AND(IF(ISNUMBER(F249),AND(F249&gt;=1,F249&lt;=10,F249=INT(F249)),FALSE),IF(ISNUMBER(H249),AND(H249&gt;=1,H249&lt;=10,H249=INT(H249)),FALSE),IF(ISNUMBER(K249),AND(K249&gt;=1,K249&lt;=10,K249=INT(K249)),FALSE)),F249*H249*K249,"")</f>
        <v/>
      </c>
      <c r="M249" s="54" t="str">
        <f>IF(L249="",IF(D249="","","À coter"),IF(OR(F249&gt;=p_gmin,L249&gt;=p_ipr_crit),"Critique",IF(L249&gt;=p_ipr_act,"Élevée",IF(L249&gt;=p_ipr_watch,"Moyenne","Faible"))))</f>
        <v/>
      </c>
      <c r="N249" s="54" t="str">
        <f>IF(OR(M249="",M249="À coter"),"",IF(OR(M249="Critique",M249="Élevée"),"Oui","Non"))</f>
        <v/>
      </c>
      <c r="O249" s="51" t="n"/>
      <c r="P249" s="51" t="n"/>
      <c r="Q249" s="55" t="n"/>
      <c r="R249" s="50" t="n"/>
      <c r="S249" s="55" t="n"/>
      <c r="T249" s="56" t="n"/>
      <c r="U249" s="52" t="n"/>
      <c r="V249" s="52" t="n"/>
      <c r="W249" s="52" t="n"/>
      <c r="X249" s="53" t="str">
        <f>IF(AND(L249&lt;&gt;"",IF(ISNUMBER(U249),AND(U249&gt;=1,U249&lt;=10,U249=INT(U249)),FALSE),IF(ISNUMBER(V249),AND(V249&gt;=1,V249&lt;=10,V249=INT(V249)),FALSE),IF(ISNUMBER(W249),AND(W249&gt;=1,W249&lt;=10,W249=INT(W249)),FALSE)),U249*V249*W249,"")</f>
        <v/>
      </c>
      <c r="Y249" s="54" t="str">
        <f>IF(X249="","",IF(OR(U249&gt;=p_gmin,X249&gt;=p_ipr_crit),"Critique",IF(X249&gt;=p_ipr_act,"Élevée",IF(X249&gt;=p_ipr_watch,"Moyenne","Faible"))))</f>
        <v/>
      </c>
      <c r="Z249" s="57" t="str">
        <f>IF(X249="","",(L249-X249)/L249)</f>
        <v/>
      </c>
      <c r="AA249" s="54" t="str">
        <f>IF(AND(D249="",O249=""),"",IF(O249="",IF(N249="Oui","Action à définir",IF(N249="Non","Sans action","")),IF(R249="Annulée","Annulée",IF(R249="Réalisée",IF(X249="","À réévaluer","Réalisée"),IF(N(Q249)=0,"Échéance manquante",IF(Q249&lt;p_today,"En retard",IF(Q249-p_today&lt;=p_alert,"Échéance proche","Dans les délais")))))))</f>
        <v/>
      </c>
      <c r="AB249" s="58" t="str">
        <f>IF(AND(A249="",B249="",D249="",F249="",H249="",K249="",O249=""),"",IF(D249="","Mode de défaillance manquant",IF(AND(A249&lt;&gt;"",COUNTIF(am_num,A249)&gt;1),"N° en double",IF(F249="","Gravité G manquante",IF(NOT(IF(ISNUMBER(F249),AND(F249&gt;=1,F249&lt;=10,F249=INT(F249)),FALSE)),"G : entier de 1 à 10",IF(H249="","Occurrence O manquante",IF(NOT(IF(ISNUMBER(H249),AND(H249&gt;=1,H249&lt;=10,H249=INT(H249)),FALSE)),"O : entier de 1 à 10",IF(K249="","Détection D manquante",IF(NOT(IF(ISNUMBER(K249),AND(K249&gt;=1,K249&lt;=10,K249=INT(K249)),FALSE)),"D : entier de 1 à 10",IF(G249="","Cause manquante",IF(AND(O249&lt;&gt;"",P249=""),"Responsable manquant",IF(AND(R249&lt;&gt;"",O249=""),"Statut sans action",IF(AND(R249="Réalisée",N(S249)=0),"Date de réalisation manquante",IF(AND(T249&lt;&gt;"",IF(ISNUMBER(T249),T249&lt;0,TRUE)),"Coût invalide",IF(AND(COUNTBLANK(U249:W249)&gt;0,COUNTBLANK(U249:W249)&lt;3),"Cotation après action incomplète",IF(AND(COUNTBLANK(U249:W249)=0,X249=""),"G', O', D' : entiers de 1 à 10",IF(AND(X249&lt;&gt;"",X249&gt;L249),"IPR après action plus élevé","OK")))))))))))))))))</f>
        <v/>
      </c>
      <c r="AC249" s="59" t="str">
        <f>IF(OR(AA249="En retard",AA249="Échéance proche",AA249="Dans les délais",AA249="Échéance manquante",AA249="Action à définir",AA249="À réévaluer"),IF(OR(plan_who="",P249=plan_who),IF(N(Q249)&gt;0,Q249,99999)*1000+ROW(),""),"")</f>
        <v/>
      </c>
      <c r="AD249" s="59" t="str">
        <f>IF(L249="","",L249*1000+1000-ROW())</f>
        <v/>
      </c>
      <c r="AE249" s="59" t="str">
        <f>IF(IF(AA249="En retard",1,IF(AA249="Action à définir",2,IF(AA249="Échéance manquante",3,IF(AA249="Échéance proche",4,IF(AA249="À réévaluer",5,0)))))=0,"",IF(AA249="En retard",1,IF(AA249="Action à définir",2,IF(AA249="Échéance manquante",3,IF(AA249="Échéance proche",4,IF(AA249="À réévaluer",5,0)))))*100000000+IF(N(Q249)&gt;0,Q249,99999)*1000+ROW())</f>
        <v/>
      </c>
      <c r="AF249" s="59" t="str">
        <f>IF(X249&lt;&gt;"",X249,L249)</f>
        <v/>
      </c>
      <c r="AG249" s="59" t="str">
        <f>IF(X249&lt;&gt;"",Y249,IF(L249&lt;&gt;"",M249,""))</f>
        <v/>
      </c>
      <c r="AH249" s="59" t="str">
        <f>IF(L249="","",IF(X249&lt;&gt;"",U249,F249))</f>
        <v/>
      </c>
      <c r="AI249" s="59" t="str">
        <f>IF(L249="","",IF(X249&lt;&gt;"",V249,H249))</f>
        <v/>
      </c>
    </row>
    <row r="250" ht="30" customHeight="1">
      <c r="A250" s="50" t="n"/>
      <c r="B250" s="51" t="n"/>
      <c r="C250" s="51" t="n"/>
      <c r="D250" s="51" t="n"/>
      <c r="E250" s="51" t="n"/>
      <c r="F250" s="52" t="n"/>
      <c r="G250" s="51" t="n"/>
      <c r="H250" s="52" t="n"/>
      <c r="I250" s="51" t="n"/>
      <c r="J250" s="51" t="n"/>
      <c r="K250" s="52" t="n"/>
      <c r="L250" s="53" t="str">
        <f>IF(AND(IF(ISNUMBER(F250),AND(F250&gt;=1,F250&lt;=10,F250=INT(F250)),FALSE),IF(ISNUMBER(H250),AND(H250&gt;=1,H250&lt;=10,H250=INT(H250)),FALSE),IF(ISNUMBER(K250),AND(K250&gt;=1,K250&lt;=10,K250=INT(K250)),FALSE)),F250*H250*K250,"")</f>
        <v/>
      </c>
      <c r="M250" s="54" t="str">
        <f>IF(L250="",IF(D250="","","À coter"),IF(OR(F250&gt;=p_gmin,L250&gt;=p_ipr_crit),"Critique",IF(L250&gt;=p_ipr_act,"Élevée",IF(L250&gt;=p_ipr_watch,"Moyenne","Faible"))))</f>
        <v/>
      </c>
      <c r="N250" s="54" t="str">
        <f>IF(OR(M250="",M250="À coter"),"",IF(OR(M250="Critique",M250="Élevée"),"Oui","Non"))</f>
        <v/>
      </c>
      <c r="O250" s="51" t="n"/>
      <c r="P250" s="51" t="n"/>
      <c r="Q250" s="55" t="n"/>
      <c r="R250" s="50" t="n"/>
      <c r="S250" s="55" t="n"/>
      <c r="T250" s="56" t="n"/>
      <c r="U250" s="52" t="n"/>
      <c r="V250" s="52" t="n"/>
      <c r="W250" s="52" t="n"/>
      <c r="X250" s="53" t="str">
        <f>IF(AND(L250&lt;&gt;"",IF(ISNUMBER(U250),AND(U250&gt;=1,U250&lt;=10,U250=INT(U250)),FALSE),IF(ISNUMBER(V250),AND(V250&gt;=1,V250&lt;=10,V250=INT(V250)),FALSE),IF(ISNUMBER(W250),AND(W250&gt;=1,W250&lt;=10,W250=INT(W250)),FALSE)),U250*V250*W250,"")</f>
        <v/>
      </c>
      <c r="Y250" s="54" t="str">
        <f>IF(X250="","",IF(OR(U250&gt;=p_gmin,X250&gt;=p_ipr_crit),"Critique",IF(X250&gt;=p_ipr_act,"Élevée",IF(X250&gt;=p_ipr_watch,"Moyenne","Faible"))))</f>
        <v/>
      </c>
      <c r="Z250" s="57" t="str">
        <f>IF(X250="","",(L250-X250)/L250)</f>
        <v/>
      </c>
      <c r="AA250" s="54" t="str">
        <f>IF(AND(D250="",O250=""),"",IF(O250="",IF(N250="Oui","Action à définir",IF(N250="Non","Sans action","")),IF(R250="Annulée","Annulée",IF(R250="Réalisée",IF(X250="","À réévaluer","Réalisée"),IF(N(Q250)=0,"Échéance manquante",IF(Q250&lt;p_today,"En retard",IF(Q250-p_today&lt;=p_alert,"Échéance proche","Dans les délais")))))))</f>
        <v/>
      </c>
      <c r="AB250" s="58" t="str">
        <f>IF(AND(A250="",B250="",D250="",F250="",H250="",K250="",O250=""),"",IF(D250="","Mode de défaillance manquant",IF(AND(A250&lt;&gt;"",COUNTIF(am_num,A250)&gt;1),"N° en double",IF(F250="","Gravité G manquante",IF(NOT(IF(ISNUMBER(F250),AND(F250&gt;=1,F250&lt;=10,F250=INT(F250)),FALSE)),"G : entier de 1 à 10",IF(H250="","Occurrence O manquante",IF(NOT(IF(ISNUMBER(H250),AND(H250&gt;=1,H250&lt;=10,H250=INT(H250)),FALSE)),"O : entier de 1 à 10",IF(K250="","Détection D manquante",IF(NOT(IF(ISNUMBER(K250),AND(K250&gt;=1,K250&lt;=10,K250=INT(K250)),FALSE)),"D : entier de 1 à 10",IF(G250="","Cause manquante",IF(AND(O250&lt;&gt;"",P250=""),"Responsable manquant",IF(AND(R250&lt;&gt;"",O250=""),"Statut sans action",IF(AND(R250="Réalisée",N(S250)=0),"Date de réalisation manquante",IF(AND(T250&lt;&gt;"",IF(ISNUMBER(T250),T250&lt;0,TRUE)),"Coût invalide",IF(AND(COUNTBLANK(U250:W250)&gt;0,COUNTBLANK(U250:W250)&lt;3),"Cotation après action incomplète",IF(AND(COUNTBLANK(U250:W250)=0,X250=""),"G', O', D' : entiers de 1 à 10",IF(AND(X250&lt;&gt;"",X250&gt;L250),"IPR après action plus élevé","OK")))))))))))))))))</f>
        <v/>
      </c>
      <c r="AC250" s="59" t="str">
        <f>IF(OR(AA250="En retard",AA250="Échéance proche",AA250="Dans les délais",AA250="Échéance manquante",AA250="Action à définir",AA250="À réévaluer"),IF(OR(plan_who="",P250=plan_who),IF(N(Q250)&gt;0,Q250,99999)*1000+ROW(),""),"")</f>
        <v/>
      </c>
      <c r="AD250" s="59" t="str">
        <f>IF(L250="","",L250*1000+1000-ROW())</f>
        <v/>
      </c>
      <c r="AE250" s="59" t="str">
        <f>IF(IF(AA250="En retard",1,IF(AA250="Action à définir",2,IF(AA250="Échéance manquante",3,IF(AA250="Échéance proche",4,IF(AA250="À réévaluer",5,0)))))=0,"",IF(AA250="En retard",1,IF(AA250="Action à définir",2,IF(AA250="Échéance manquante",3,IF(AA250="Échéance proche",4,IF(AA250="À réévaluer",5,0)))))*100000000+IF(N(Q250)&gt;0,Q250,99999)*1000+ROW())</f>
        <v/>
      </c>
      <c r="AF250" s="59" t="str">
        <f>IF(X250&lt;&gt;"",X250,L250)</f>
        <v/>
      </c>
      <c r="AG250" s="59" t="str">
        <f>IF(X250&lt;&gt;"",Y250,IF(L250&lt;&gt;"",M250,""))</f>
        <v/>
      </c>
      <c r="AH250" s="59" t="str">
        <f>IF(L250="","",IF(X250&lt;&gt;"",U250,F250))</f>
        <v/>
      </c>
      <c r="AI250" s="59" t="str">
        <f>IF(L250="","",IF(X250&lt;&gt;"",V250,H250))</f>
        <v/>
      </c>
    </row>
    <row r="251" ht="30" customHeight="1">
      <c r="A251" s="50" t="n"/>
      <c r="B251" s="51" t="n"/>
      <c r="C251" s="51" t="n"/>
      <c r="D251" s="51" t="n"/>
      <c r="E251" s="51" t="n"/>
      <c r="F251" s="52" t="n"/>
      <c r="G251" s="51" t="n"/>
      <c r="H251" s="52" t="n"/>
      <c r="I251" s="51" t="n"/>
      <c r="J251" s="51" t="n"/>
      <c r="K251" s="52" t="n"/>
      <c r="L251" s="53" t="str">
        <f>IF(AND(IF(ISNUMBER(F251),AND(F251&gt;=1,F251&lt;=10,F251=INT(F251)),FALSE),IF(ISNUMBER(H251),AND(H251&gt;=1,H251&lt;=10,H251=INT(H251)),FALSE),IF(ISNUMBER(K251),AND(K251&gt;=1,K251&lt;=10,K251=INT(K251)),FALSE)),F251*H251*K251,"")</f>
        <v/>
      </c>
      <c r="M251" s="54" t="str">
        <f>IF(L251="",IF(D251="","","À coter"),IF(OR(F251&gt;=p_gmin,L251&gt;=p_ipr_crit),"Critique",IF(L251&gt;=p_ipr_act,"Élevée",IF(L251&gt;=p_ipr_watch,"Moyenne","Faible"))))</f>
        <v/>
      </c>
      <c r="N251" s="54" t="str">
        <f>IF(OR(M251="",M251="À coter"),"",IF(OR(M251="Critique",M251="Élevée"),"Oui","Non"))</f>
        <v/>
      </c>
      <c r="O251" s="51" t="n"/>
      <c r="P251" s="51" t="n"/>
      <c r="Q251" s="55" t="n"/>
      <c r="R251" s="50" t="n"/>
      <c r="S251" s="55" t="n"/>
      <c r="T251" s="56" t="n"/>
      <c r="U251" s="52" t="n"/>
      <c r="V251" s="52" t="n"/>
      <c r="W251" s="52" t="n"/>
      <c r="X251" s="53" t="str">
        <f>IF(AND(L251&lt;&gt;"",IF(ISNUMBER(U251),AND(U251&gt;=1,U251&lt;=10,U251=INT(U251)),FALSE),IF(ISNUMBER(V251),AND(V251&gt;=1,V251&lt;=10,V251=INT(V251)),FALSE),IF(ISNUMBER(W251),AND(W251&gt;=1,W251&lt;=10,W251=INT(W251)),FALSE)),U251*V251*W251,"")</f>
        <v/>
      </c>
      <c r="Y251" s="54" t="str">
        <f>IF(X251="","",IF(OR(U251&gt;=p_gmin,X251&gt;=p_ipr_crit),"Critique",IF(X251&gt;=p_ipr_act,"Élevée",IF(X251&gt;=p_ipr_watch,"Moyenne","Faible"))))</f>
        <v/>
      </c>
      <c r="Z251" s="57" t="str">
        <f>IF(X251="","",(L251-X251)/L251)</f>
        <v/>
      </c>
      <c r="AA251" s="54" t="str">
        <f>IF(AND(D251="",O251=""),"",IF(O251="",IF(N251="Oui","Action à définir",IF(N251="Non","Sans action","")),IF(R251="Annulée","Annulée",IF(R251="Réalisée",IF(X251="","À réévaluer","Réalisée"),IF(N(Q251)=0,"Échéance manquante",IF(Q251&lt;p_today,"En retard",IF(Q251-p_today&lt;=p_alert,"Échéance proche","Dans les délais")))))))</f>
        <v/>
      </c>
      <c r="AB251" s="58" t="str">
        <f>IF(AND(A251="",B251="",D251="",F251="",H251="",K251="",O251=""),"",IF(D251="","Mode de défaillance manquant",IF(AND(A251&lt;&gt;"",COUNTIF(am_num,A251)&gt;1),"N° en double",IF(F251="","Gravité G manquante",IF(NOT(IF(ISNUMBER(F251),AND(F251&gt;=1,F251&lt;=10,F251=INT(F251)),FALSE)),"G : entier de 1 à 10",IF(H251="","Occurrence O manquante",IF(NOT(IF(ISNUMBER(H251),AND(H251&gt;=1,H251&lt;=10,H251=INT(H251)),FALSE)),"O : entier de 1 à 10",IF(K251="","Détection D manquante",IF(NOT(IF(ISNUMBER(K251),AND(K251&gt;=1,K251&lt;=10,K251=INT(K251)),FALSE)),"D : entier de 1 à 10",IF(G251="","Cause manquante",IF(AND(O251&lt;&gt;"",P251=""),"Responsable manquant",IF(AND(R251&lt;&gt;"",O251=""),"Statut sans action",IF(AND(R251="Réalisée",N(S251)=0),"Date de réalisation manquante",IF(AND(T251&lt;&gt;"",IF(ISNUMBER(T251),T251&lt;0,TRUE)),"Coût invalide",IF(AND(COUNTBLANK(U251:W251)&gt;0,COUNTBLANK(U251:W251)&lt;3),"Cotation après action incomplète",IF(AND(COUNTBLANK(U251:W251)=0,X251=""),"G', O', D' : entiers de 1 à 10",IF(AND(X251&lt;&gt;"",X251&gt;L251),"IPR après action plus élevé","OK")))))))))))))))))</f>
        <v/>
      </c>
      <c r="AC251" s="59" t="str">
        <f>IF(OR(AA251="En retard",AA251="Échéance proche",AA251="Dans les délais",AA251="Échéance manquante",AA251="Action à définir",AA251="À réévaluer"),IF(OR(plan_who="",P251=plan_who),IF(N(Q251)&gt;0,Q251,99999)*1000+ROW(),""),"")</f>
        <v/>
      </c>
      <c r="AD251" s="59" t="str">
        <f>IF(L251="","",L251*1000+1000-ROW())</f>
        <v/>
      </c>
      <c r="AE251" s="59" t="str">
        <f>IF(IF(AA251="En retard",1,IF(AA251="Action à définir",2,IF(AA251="Échéance manquante",3,IF(AA251="Échéance proche",4,IF(AA251="À réévaluer",5,0)))))=0,"",IF(AA251="En retard",1,IF(AA251="Action à définir",2,IF(AA251="Échéance manquante",3,IF(AA251="Échéance proche",4,IF(AA251="À réévaluer",5,0)))))*100000000+IF(N(Q251)&gt;0,Q251,99999)*1000+ROW())</f>
        <v/>
      </c>
      <c r="AF251" s="59" t="str">
        <f>IF(X251&lt;&gt;"",X251,L251)</f>
        <v/>
      </c>
      <c r="AG251" s="59" t="str">
        <f>IF(X251&lt;&gt;"",Y251,IF(L251&lt;&gt;"",M251,""))</f>
        <v/>
      </c>
      <c r="AH251" s="59" t="str">
        <f>IF(L251="","",IF(X251&lt;&gt;"",U251,F251))</f>
        <v/>
      </c>
      <c r="AI251" s="59" t="str">
        <f>IF(L251="","",IF(X251&lt;&gt;"",V251,H251))</f>
        <v/>
      </c>
    </row>
    <row r="252" ht="30" customHeight="1">
      <c r="A252" s="50" t="n"/>
      <c r="B252" s="51" t="n"/>
      <c r="C252" s="51" t="n"/>
      <c r="D252" s="51" t="n"/>
      <c r="E252" s="51" t="n"/>
      <c r="F252" s="52" t="n"/>
      <c r="G252" s="51" t="n"/>
      <c r="H252" s="52" t="n"/>
      <c r="I252" s="51" t="n"/>
      <c r="J252" s="51" t="n"/>
      <c r="K252" s="52" t="n"/>
      <c r="L252" s="53" t="str">
        <f>IF(AND(IF(ISNUMBER(F252),AND(F252&gt;=1,F252&lt;=10,F252=INT(F252)),FALSE),IF(ISNUMBER(H252),AND(H252&gt;=1,H252&lt;=10,H252=INT(H252)),FALSE),IF(ISNUMBER(K252),AND(K252&gt;=1,K252&lt;=10,K252=INT(K252)),FALSE)),F252*H252*K252,"")</f>
        <v/>
      </c>
      <c r="M252" s="54" t="str">
        <f>IF(L252="",IF(D252="","","À coter"),IF(OR(F252&gt;=p_gmin,L252&gt;=p_ipr_crit),"Critique",IF(L252&gt;=p_ipr_act,"Élevée",IF(L252&gt;=p_ipr_watch,"Moyenne","Faible"))))</f>
        <v/>
      </c>
      <c r="N252" s="54" t="str">
        <f>IF(OR(M252="",M252="À coter"),"",IF(OR(M252="Critique",M252="Élevée"),"Oui","Non"))</f>
        <v/>
      </c>
      <c r="O252" s="51" t="n"/>
      <c r="P252" s="51" t="n"/>
      <c r="Q252" s="55" t="n"/>
      <c r="R252" s="50" t="n"/>
      <c r="S252" s="55" t="n"/>
      <c r="T252" s="56" t="n"/>
      <c r="U252" s="52" t="n"/>
      <c r="V252" s="52" t="n"/>
      <c r="W252" s="52" t="n"/>
      <c r="X252" s="53" t="str">
        <f>IF(AND(L252&lt;&gt;"",IF(ISNUMBER(U252),AND(U252&gt;=1,U252&lt;=10,U252=INT(U252)),FALSE),IF(ISNUMBER(V252),AND(V252&gt;=1,V252&lt;=10,V252=INT(V252)),FALSE),IF(ISNUMBER(W252),AND(W252&gt;=1,W252&lt;=10,W252=INT(W252)),FALSE)),U252*V252*W252,"")</f>
        <v/>
      </c>
      <c r="Y252" s="54" t="str">
        <f>IF(X252="","",IF(OR(U252&gt;=p_gmin,X252&gt;=p_ipr_crit),"Critique",IF(X252&gt;=p_ipr_act,"Élevée",IF(X252&gt;=p_ipr_watch,"Moyenne","Faible"))))</f>
        <v/>
      </c>
      <c r="Z252" s="57" t="str">
        <f>IF(X252="","",(L252-X252)/L252)</f>
        <v/>
      </c>
      <c r="AA252" s="54" t="str">
        <f>IF(AND(D252="",O252=""),"",IF(O252="",IF(N252="Oui","Action à définir",IF(N252="Non","Sans action","")),IF(R252="Annulée","Annulée",IF(R252="Réalisée",IF(X252="","À réévaluer","Réalisée"),IF(N(Q252)=0,"Échéance manquante",IF(Q252&lt;p_today,"En retard",IF(Q252-p_today&lt;=p_alert,"Échéance proche","Dans les délais")))))))</f>
        <v/>
      </c>
      <c r="AB252" s="58" t="str">
        <f>IF(AND(A252="",B252="",D252="",F252="",H252="",K252="",O252=""),"",IF(D252="","Mode de défaillance manquant",IF(AND(A252&lt;&gt;"",COUNTIF(am_num,A252)&gt;1),"N° en double",IF(F252="","Gravité G manquante",IF(NOT(IF(ISNUMBER(F252),AND(F252&gt;=1,F252&lt;=10,F252=INT(F252)),FALSE)),"G : entier de 1 à 10",IF(H252="","Occurrence O manquante",IF(NOT(IF(ISNUMBER(H252),AND(H252&gt;=1,H252&lt;=10,H252=INT(H252)),FALSE)),"O : entier de 1 à 10",IF(K252="","Détection D manquante",IF(NOT(IF(ISNUMBER(K252),AND(K252&gt;=1,K252&lt;=10,K252=INT(K252)),FALSE)),"D : entier de 1 à 10",IF(G252="","Cause manquante",IF(AND(O252&lt;&gt;"",P252=""),"Responsable manquant",IF(AND(R252&lt;&gt;"",O252=""),"Statut sans action",IF(AND(R252="Réalisée",N(S252)=0),"Date de réalisation manquante",IF(AND(T252&lt;&gt;"",IF(ISNUMBER(T252),T252&lt;0,TRUE)),"Coût invalide",IF(AND(COUNTBLANK(U252:W252)&gt;0,COUNTBLANK(U252:W252)&lt;3),"Cotation après action incomplète",IF(AND(COUNTBLANK(U252:W252)=0,X252=""),"G', O', D' : entiers de 1 à 10",IF(AND(X252&lt;&gt;"",X252&gt;L252),"IPR après action plus élevé","OK")))))))))))))))))</f>
        <v/>
      </c>
      <c r="AC252" s="59" t="str">
        <f>IF(OR(AA252="En retard",AA252="Échéance proche",AA252="Dans les délais",AA252="Échéance manquante",AA252="Action à définir",AA252="À réévaluer"),IF(OR(plan_who="",P252=plan_who),IF(N(Q252)&gt;0,Q252,99999)*1000+ROW(),""),"")</f>
        <v/>
      </c>
      <c r="AD252" s="59" t="str">
        <f>IF(L252="","",L252*1000+1000-ROW())</f>
        <v/>
      </c>
      <c r="AE252" s="59" t="str">
        <f>IF(IF(AA252="En retard",1,IF(AA252="Action à définir",2,IF(AA252="Échéance manquante",3,IF(AA252="Échéance proche",4,IF(AA252="À réévaluer",5,0)))))=0,"",IF(AA252="En retard",1,IF(AA252="Action à définir",2,IF(AA252="Échéance manquante",3,IF(AA252="Échéance proche",4,IF(AA252="À réévaluer",5,0)))))*100000000+IF(N(Q252)&gt;0,Q252,99999)*1000+ROW())</f>
        <v/>
      </c>
      <c r="AF252" s="59" t="str">
        <f>IF(X252&lt;&gt;"",X252,L252)</f>
        <v/>
      </c>
      <c r="AG252" s="59" t="str">
        <f>IF(X252&lt;&gt;"",Y252,IF(L252&lt;&gt;"",M252,""))</f>
        <v/>
      </c>
      <c r="AH252" s="59" t="str">
        <f>IF(L252="","",IF(X252&lt;&gt;"",U252,F252))</f>
        <v/>
      </c>
      <c r="AI252" s="59" t="str">
        <f>IF(L252="","",IF(X252&lt;&gt;"",V252,H252))</f>
        <v/>
      </c>
    </row>
    <row r="253" ht="30" customHeight="1">
      <c r="A253" s="50" t="n"/>
      <c r="B253" s="51" t="n"/>
      <c r="C253" s="51" t="n"/>
      <c r="D253" s="51" t="n"/>
      <c r="E253" s="51" t="n"/>
      <c r="F253" s="52" t="n"/>
      <c r="G253" s="51" t="n"/>
      <c r="H253" s="52" t="n"/>
      <c r="I253" s="51" t="n"/>
      <c r="J253" s="51" t="n"/>
      <c r="K253" s="52" t="n"/>
      <c r="L253" s="53" t="str">
        <f>IF(AND(IF(ISNUMBER(F253),AND(F253&gt;=1,F253&lt;=10,F253=INT(F253)),FALSE),IF(ISNUMBER(H253),AND(H253&gt;=1,H253&lt;=10,H253=INT(H253)),FALSE),IF(ISNUMBER(K253),AND(K253&gt;=1,K253&lt;=10,K253=INT(K253)),FALSE)),F253*H253*K253,"")</f>
        <v/>
      </c>
      <c r="M253" s="54" t="str">
        <f>IF(L253="",IF(D253="","","À coter"),IF(OR(F253&gt;=p_gmin,L253&gt;=p_ipr_crit),"Critique",IF(L253&gt;=p_ipr_act,"Élevée",IF(L253&gt;=p_ipr_watch,"Moyenne","Faible"))))</f>
        <v/>
      </c>
      <c r="N253" s="54" t="str">
        <f>IF(OR(M253="",M253="À coter"),"",IF(OR(M253="Critique",M253="Élevée"),"Oui","Non"))</f>
        <v/>
      </c>
      <c r="O253" s="51" t="n"/>
      <c r="P253" s="51" t="n"/>
      <c r="Q253" s="55" t="n"/>
      <c r="R253" s="50" t="n"/>
      <c r="S253" s="55" t="n"/>
      <c r="T253" s="56" t="n"/>
      <c r="U253" s="52" t="n"/>
      <c r="V253" s="52" t="n"/>
      <c r="W253" s="52" t="n"/>
      <c r="X253" s="53" t="str">
        <f>IF(AND(L253&lt;&gt;"",IF(ISNUMBER(U253),AND(U253&gt;=1,U253&lt;=10,U253=INT(U253)),FALSE),IF(ISNUMBER(V253),AND(V253&gt;=1,V253&lt;=10,V253=INT(V253)),FALSE),IF(ISNUMBER(W253),AND(W253&gt;=1,W253&lt;=10,W253=INT(W253)),FALSE)),U253*V253*W253,"")</f>
        <v/>
      </c>
      <c r="Y253" s="54" t="str">
        <f>IF(X253="","",IF(OR(U253&gt;=p_gmin,X253&gt;=p_ipr_crit),"Critique",IF(X253&gt;=p_ipr_act,"Élevée",IF(X253&gt;=p_ipr_watch,"Moyenne","Faible"))))</f>
        <v/>
      </c>
      <c r="Z253" s="57" t="str">
        <f>IF(X253="","",(L253-X253)/L253)</f>
        <v/>
      </c>
      <c r="AA253" s="54" t="str">
        <f>IF(AND(D253="",O253=""),"",IF(O253="",IF(N253="Oui","Action à définir",IF(N253="Non","Sans action","")),IF(R253="Annulée","Annulée",IF(R253="Réalisée",IF(X253="","À réévaluer","Réalisée"),IF(N(Q253)=0,"Échéance manquante",IF(Q253&lt;p_today,"En retard",IF(Q253-p_today&lt;=p_alert,"Échéance proche","Dans les délais")))))))</f>
        <v/>
      </c>
      <c r="AB253" s="58" t="str">
        <f>IF(AND(A253="",B253="",D253="",F253="",H253="",K253="",O253=""),"",IF(D253="","Mode de défaillance manquant",IF(AND(A253&lt;&gt;"",COUNTIF(am_num,A253)&gt;1),"N° en double",IF(F253="","Gravité G manquante",IF(NOT(IF(ISNUMBER(F253),AND(F253&gt;=1,F253&lt;=10,F253=INT(F253)),FALSE)),"G : entier de 1 à 10",IF(H253="","Occurrence O manquante",IF(NOT(IF(ISNUMBER(H253),AND(H253&gt;=1,H253&lt;=10,H253=INT(H253)),FALSE)),"O : entier de 1 à 10",IF(K253="","Détection D manquante",IF(NOT(IF(ISNUMBER(K253),AND(K253&gt;=1,K253&lt;=10,K253=INT(K253)),FALSE)),"D : entier de 1 à 10",IF(G253="","Cause manquante",IF(AND(O253&lt;&gt;"",P253=""),"Responsable manquant",IF(AND(R253&lt;&gt;"",O253=""),"Statut sans action",IF(AND(R253="Réalisée",N(S253)=0),"Date de réalisation manquante",IF(AND(T253&lt;&gt;"",IF(ISNUMBER(T253),T253&lt;0,TRUE)),"Coût invalide",IF(AND(COUNTBLANK(U253:W253)&gt;0,COUNTBLANK(U253:W253)&lt;3),"Cotation après action incomplète",IF(AND(COUNTBLANK(U253:W253)=0,X253=""),"G', O', D' : entiers de 1 à 10",IF(AND(X253&lt;&gt;"",X253&gt;L253),"IPR après action plus élevé","OK")))))))))))))))))</f>
        <v/>
      </c>
      <c r="AC253" s="59" t="str">
        <f>IF(OR(AA253="En retard",AA253="Échéance proche",AA253="Dans les délais",AA253="Échéance manquante",AA253="Action à définir",AA253="À réévaluer"),IF(OR(plan_who="",P253=plan_who),IF(N(Q253)&gt;0,Q253,99999)*1000+ROW(),""),"")</f>
        <v/>
      </c>
      <c r="AD253" s="59" t="str">
        <f>IF(L253="","",L253*1000+1000-ROW())</f>
        <v/>
      </c>
      <c r="AE253" s="59" t="str">
        <f>IF(IF(AA253="En retard",1,IF(AA253="Action à définir",2,IF(AA253="Échéance manquante",3,IF(AA253="Échéance proche",4,IF(AA253="À réévaluer",5,0)))))=0,"",IF(AA253="En retard",1,IF(AA253="Action à définir",2,IF(AA253="Échéance manquante",3,IF(AA253="Échéance proche",4,IF(AA253="À réévaluer",5,0)))))*100000000+IF(N(Q253)&gt;0,Q253,99999)*1000+ROW())</f>
        <v/>
      </c>
      <c r="AF253" s="59" t="str">
        <f>IF(X253&lt;&gt;"",X253,L253)</f>
        <v/>
      </c>
      <c r="AG253" s="59" t="str">
        <f>IF(X253&lt;&gt;"",Y253,IF(L253&lt;&gt;"",M253,""))</f>
        <v/>
      </c>
      <c r="AH253" s="59" t="str">
        <f>IF(L253="","",IF(X253&lt;&gt;"",U253,F253))</f>
        <v/>
      </c>
      <c r="AI253" s="59" t="str">
        <f>IF(L253="","",IF(X253&lt;&gt;"",V253,H253))</f>
        <v/>
      </c>
    </row>
    <row r="254" ht="30" customHeight="1">
      <c r="A254" s="50" t="n"/>
      <c r="B254" s="51" t="n"/>
      <c r="C254" s="51" t="n"/>
      <c r="D254" s="51" t="n"/>
      <c r="E254" s="51" t="n"/>
      <c r="F254" s="52" t="n"/>
      <c r="G254" s="51" t="n"/>
      <c r="H254" s="52" t="n"/>
      <c r="I254" s="51" t="n"/>
      <c r="J254" s="51" t="n"/>
      <c r="K254" s="52" t="n"/>
      <c r="L254" s="53" t="str">
        <f>IF(AND(IF(ISNUMBER(F254),AND(F254&gt;=1,F254&lt;=10,F254=INT(F254)),FALSE),IF(ISNUMBER(H254),AND(H254&gt;=1,H254&lt;=10,H254=INT(H254)),FALSE),IF(ISNUMBER(K254),AND(K254&gt;=1,K254&lt;=10,K254=INT(K254)),FALSE)),F254*H254*K254,"")</f>
        <v/>
      </c>
      <c r="M254" s="54" t="str">
        <f>IF(L254="",IF(D254="","","À coter"),IF(OR(F254&gt;=p_gmin,L254&gt;=p_ipr_crit),"Critique",IF(L254&gt;=p_ipr_act,"Élevée",IF(L254&gt;=p_ipr_watch,"Moyenne","Faible"))))</f>
        <v/>
      </c>
      <c r="N254" s="54" t="str">
        <f>IF(OR(M254="",M254="À coter"),"",IF(OR(M254="Critique",M254="Élevée"),"Oui","Non"))</f>
        <v/>
      </c>
      <c r="O254" s="51" t="n"/>
      <c r="P254" s="51" t="n"/>
      <c r="Q254" s="55" t="n"/>
      <c r="R254" s="50" t="n"/>
      <c r="S254" s="55" t="n"/>
      <c r="T254" s="56" t="n"/>
      <c r="U254" s="52" t="n"/>
      <c r="V254" s="52" t="n"/>
      <c r="W254" s="52" t="n"/>
      <c r="X254" s="53" t="str">
        <f>IF(AND(L254&lt;&gt;"",IF(ISNUMBER(U254),AND(U254&gt;=1,U254&lt;=10,U254=INT(U254)),FALSE),IF(ISNUMBER(V254),AND(V254&gt;=1,V254&lt;=10,V254=INT(V254)),FALSE),IF(ISNUMBER(W254),AND(W254&gt;=1,W254&lt;=10,W254=INT(W254)),FALSE)),U254*V254*W254,"")</f>
        <v/>
      </c>
      <c r="Y254" s="54" t="str">
        <f>IF(X254="","",IF(OR(U254&gt;=p_gmin,X254&gt;=p_ipr_crit),"Critique",IF(X254&gt;=p_ipr_act,"Élevée",IF(X254&gt;=p_ipr_watch,"Moyenne","Faible"))))</f>
        <v/>
      </c>
      <c r="Z254" s="57" t="str">
        <f>IF(X254="","",(L254-X254)/L254)</f>
        <v/>
      </c>
      <c r="AA254" s="54" t="str">
        <f>IF(AND(D254="",O254=""),"",IF(O254="",IF(N254="Oui","Action à définir",IF(N254="Non","Sans action","")),IF(R254="Annulée","Annulée",IF(R254="Réalisée",IF(X254="","À réévaluer","Réalisée"),IF(N(Q254)=0,"Échéance manquante",IF(Q254&lt;p_today,"En retard",IF(Q254-p_today&lt;=p_alert,"Échéance proche","Dans les délais")))))))</f>
        <v/>
      </c>
      <c r="AB254" s="58" t="str">
        <f>IF(AND(A254="",B254="",D254="",F254="",H254="",K254="",O254=""),"",IF(D254="","Mode de défaillance manquant",IF(AND(A254&lt;&gt;"",COUNTIF(am_num,A254)&gt;1),"N° en double",IF(F254="","Gravité G manquante",IF(NOT(IF(ISNUMBER(F254),AND(F254&gt;=1,F254&lt;=10,F254=INT(F254)),FALSE)),"G : entier de 1 à 10",IF(H254="","Occurrence O manquante",IF(NOT(IF(ISNUMBER(H254),AND(H254&gt;=1,H254&lt;=10,H254=INT(H254)),FALSE)),"O : entier de 1 à 10",IF(K254="","Détection D manquante",IF(NOT(IF(ISNUMBER(K254),AND(K254&gt;=1,K254&lt;=10,K254=INT(K254)),FALSE)),"D : entier de 1 à 10",IF(G254="","Cause manquante",IF(AND(O254&lt;&gt;"",P254=""),"Responsable manquant",IF(AND(R254&lt;&gt;"",O254=""),"Statut sans action",IF(AND(R254="Réalisée",N(S254)=0),"Date de réalisation manquante",IF(AND(T254&lt;&gt;"",IF(ISNUMBER(T254),T254&lt;0,TRUE)),"Coût invalide",IF(AND(COUNTBLANK(U254:W254)&gt;0,COUNTBLANK(U254:W254)&lt;3),"Cotation après action incomplète",IF(AND(COUNTBLANK(U254:W254)=0,X254=""),"G', O', D' : entiers de 1 à 10",IF(AND(X254&lt;&gt;"",X254&gt;L254),"IPR après action plus élevé","OK")))))))))))))))))</f>
        <v/>
      </c>
      <c r="AC254" s="59" t="str">
        <f>IF(OR(AA254="En retard",AA254="Échéance proche",AA254="Dans les délais",AA254="Échéance manquante",AA254="Action à définir",AA254="À réévaluer"),IF(OR(plan_who="",P254=plan_who),IF(N(Q254)&gt;0,Q254,99999)*1000+ROW(),""),"")</f>
        <v/>
      </c>
      <c r="AD254" s="59" t="str">
        <f>IF(L254="","",L254*1000+1000-ROW())</f>
        <v/>
      </c>
      <c r="AE254" s="59" t="str">
        <f>IF(IF(AA254="En retard",1,IF(AA254="Action à définir",2,IF(AA254="Échéance manquante",3,IF(AA254="Échéance proche",4,IF(AA254="À réévaluer",5,0)))))=0,"",IF(AA254="En retard",1,IF(AA254="Action à définir",2,IF(AA254="Échéance manquante",3,IF(AA254="Échéance proche",4,IF(AA254="À réévaluer",5,0)))))*100000000+IF(N(Q254)&gt;0,Q254,99999)*1000+ROW())</f>
        <v/>
      </c>
      <c r="AF254" s="59" t="str">
        <f>IF(X254&lt;&gt;"",X254,L254)</f>
        <v/>
      </c>
      <c r="AG254" s="59" t="str">
        <f>IF(X254&lt;&gt;"",Y254,IF(L254&lt;&gt;"",M254,""))</f>
        <v/>
      </c>
      <c r="AH254" s="59" t="str">
        <f>IF(L254="","",IF(X254&lt;&gt;"",U254,F254))</f>
        <v/>
      </c>
      <c r="AI254" s="59" t="str">
        <f>IF(L254="","",IF(X254&lt;&gt;"",V254,H254))</f>
        <v/>
      </c>
    </row>
    <row r="255" ht="30" customHeight="1">
      <c r="A255" s="50" t="n"/>
      <c r="B255" s="51" t="n"/>
      <c r="C255" s="51" t="n"/>
      <c r="D255" s="51" t="n"/>
      <c r="E255" s="51" t="n"/>
      <c r="F255" s="52" t="n"/>
      <c r="G255" s="51" t="n"/>
      <c r="H255" s="52" t="n"/>
      <c r="I255" s="51" t="n"/>
      <c r="J255" s="51" t="n"/>
      <c r="K255" s="52" t="n"/>
      <c r="L255" s="53" t="str">
        <f>IF(AND(IF(ISNUMBER(F255),AND(F255&gt;=1,F255&lt;=10,F255=INT(F255)),FALSE),IF(ISNUMBER(H255),AND(H255&gt;=1,H255&lt;=10,H255=INT(H255)),FALSE),IF(ISNUMBER(K255),AND(K255&gt;=1,K255&lt;=10,K255=INT(K255)),FALSE)),F255*H255*K255,"")</f>
        <v/>
      </c>
      <c r="M255" s="54" t="str">
        <f>IF(L255="",IF(D255="","","À coter"),IF(OR(F255&gt;=p_gmin,L255&gt;=p_ipr_crit),"Critique",IF(L255&gt;=p_ipr_act,"Élevée",IF(L255&gt;=p_ipr_watch,"Moyenne","Faible"))))</f>
        <v/>
      </c>
      <c r="N255" s="54" t="str">
        <f>IF(OR(M255="",M255="À coter"),"",IF(OR(M255="Critique",M255="Élevée"),"Oui","Non"))</f>
        <v/>
      </c>
      <c r="O255" s="51" t="n"/>
      <c r="P255" s="51" t="n"/>
      <c r="Q255" s="55" t="n"/>
      <c r="R255" s="50" t="n"/>
      <c r="S255" s="55" t="n"/>
      <c r="T255" s="56" t="n"/>
      <c r="U255" s="52" t="n"/>
      <c r="V255" s="52" t="n"/>
      <c r="W255" s="52" t="n"/>
      <c r="X255" s="53" t="str">
        <f>IF(AND(L255&lt;&gt;"",IF(ISNUMBER(U255),AND(U255&gt;=1,U255&lt;=10,U255=INT(U255)),FALSE),IF(ISNUMBER(V255),AND(V255&gt;=1,V255&lt;=10,V255=INT(V255)),FALSE),IF(ISNUMBER(W255),AND(W255&gt;=1,W255&lt;=10,W255=INT(W255)),FALSE)),U255*V255*W255,"")</f>
        <v/>
      </c>
      <c r="Y255" s="54" t="str">
        <f>IF(X255="","",IF(OR(U255&gt;=p_gmin,X255&gt;=p_ipr_crit),"Critique",IF(X255&gt;=p_ipr_act,"Élevée",IF(X255&gt;=p_ipr_watch,"Moyenne","Faible"))))</f>
        <v/>
      </c>
      <c r="Z255" s="57" t="str">
        <f>IF(X255="","",(L255-X255)/L255)</f>
        <v/>
      </c>
      <c r="AA255" s="54" t="str">
        <f>IF(AND(D255="",O255=""),"",IF(O255="",IF(N255="Oui","Action à définir",IF(N255="Non","Sans action","")),IF(R255="Annulée","Annulée",IF(R255="Réalisée",IF(X255="","À réévaluer","Réalisée"),IF(N(Q255)=0,"Échéance manquante",IF(Q255&lt;p_today,"En retard",IF(Q255-p_today&lt;=p_alert,"Échéance proche","Dans les délais")))))))</f>
        <v/>
      </c>
      <c r="AB255" s="58" t="str">
        <f>IF(AND(A255="",B255="",D255="",F255="",H255="",K255="",O255=""),"",IF(D255="","Mode de défaillance manquant",IF(AND(A255&lt;&gt;"",COUNTIF(am_num,A255)&gt;1),"N° en double",IF(F255="","Gravité G manquante",IF(NOT(IF(ISNUMBER(F255),AND(F255&gt;=1,F255&lt;=10,F255=INT(F255)),FALSE)),"G : entier de 1 à 10",IF(H255="","Occurrence O manquante",IF(NOT(IF(ISNUMBER(H255),AND(H255&gt;=1,H255&lt;=10,H255=INT(H255)),FALSE)),"O : entier de 1 à 10",IF(K255="","Détection D manquante",IF(NOT(IF(ISNUMBER(K255),AND(K255&gt;=1,K255&lt;=10,K255=INT(K255)),FALSE)),"D : entier de 1 à 10",IF(G255="","Cause manquante",IF(AND(O255&lt;&gt;"",P255=""),"Responsable manquant",IF(AND(R255&lt;&gt;"",O255=""),"Statut sans action",IF(AND(R255="Réalisée",N(S255)=0),"Date de réalisation manquante",IF(AND(T255&lt;&gt;"",IF(ISNUMBER(T255),T255&lt;0,TRUE)),"Coût invalide",IF(AND(COUNTBLANK(U255:W255)&gt;0,COUNTBLANK(U255:W255)&lt;3),"Cotation après action incomplète",IF(AND(COUNTBLANK(U255:W255)=0,X255=""),"G', O', D' : entiers de 1 à 10",IF(AND(X255&lt;&gt;"",X255&gt;L255),"IPR après action plus élevé","OK")))))))))))))))))</f>
        <v/>
      </c>
      <c r="AC255" s="59" t="str">
        <f>IF(OR(AA255="En retard",AA255="Échéance proche",AA255="Dans les délais",AA255="Échéance manquante",AA255="Action à définir",AA255="À réévaluer"),IF(OR(plan_who="",P255=plan_who),IF(N(Q255)&gt;0,Q255,99999)*1000+ROW(),""),"")</f>
        <v/>
      </c>
      <c r="AD255" s="59" t="str">
        <f>IF(L255="","",L255*1000+1000-ROW())</f>
        <v/>
      </c>
      <c r="AE255" s="59" t="str">
        <f>IF(IF(AA255="En retard",1,IF(AA255="Action à définir",2,IF(AA255="Échéance manquante",3,IF(AA255="Échéance proche",4,IF(AA255="À réévaluer",5,0)))))=0,"",IF(AA255="En retard",1,IF(AA255="Action à définir",2,IF(AA255="Échéance manquante",3,IF(AA255="Échéance proche",4,IF(AA255="À réévaluer",5,0)))))*100000000+IF(N(Q255)&gt;0,Q255,99999)*1000+ROW())</f>
        <v/>
      </c>
      <c r="AF255" s="59" t="str">
        <f>IF(X255&lt;&gt;"",X255,L255)</f>
        <v/>
      </c>
      <c r="AG255" s="59" t="str">
        <f>IF(X255&lt;&gt;"",Y255,IF(L255&lt;&gt;"",M255,""))</f>
        <v/>
      </c>
      <c r="AH255" s="59" t="str">
        <f>IF(L255="","",IF(X255&lt;&gt;"",U255,F255))</f>
        <v/>
      </c>
      <c r="AI255" s="59" t="str">
        <f>IF(L255="","",IF(X255&lt;&gt;"",V255,H255))</f>
        <v/>
      </c>
    </row>
    <row r="256" ht="30" customHeight="1">
      <c r="A256" s="50" t="n"/>
      <c r="B256" s="51" t="n"/>
      <c r="C256" s="51" t="n"/>
      <c r="D256" s="51" t="n"/>
      <c r="E256" s="51" t="n"/>
      <c r="F256" s="52" t="n"/>
      <c r="G256" s="51" t="n"/>
      <c r="H256" s="52" t="n"/>
      <c r="I256" s="51" t="n"/>
      <c r="J256" s="51" t="n"/>
      <c r="K256" s="52" t="n"/>
      <c r="L256" s="53" t="str">
        <f>IF(AND(IF(ISNUMBER(F256),AND(F256&gt;=1,F256&lt;=10,F256=INT(F256)),FALSE),IF(ISNUMBER(H256),AND(H256&gt;=1,H256&lt;=10,H256=INT(H256)),FALSE),IF(ISNUMBER(K256),AND(K256&gt;=1,K256&lt;=10,K256=INT(K256)),FALSE)),F256*H256*K256,"")</f>
        <v/>
      </c>
      <c r="M256" s="54" t="str">
        <f>IF(L256="",IF(D256="","","À coter"),IF(OR(F256&gt;=p_gmin,L256&gt;=p_ipr_crit),"Critique",IF(L256&gt;=p_ipr_act,"Élevée",IF(L256&gt;=p_ipr_watch,"Moyenne","Faible"))))</f>
        <v/>
      </c>
      <c r="N256" s="54" t="str">
        <f>IF(OR(M256="",M256="À coter"),"",IF(OR(M256="Critique",M256="Élevée"),"Oui","Non"))</f>
        <v/>
      </c>
      <c r="O256" s="51" t="n"/>
      <c r="P256" s="51" t="n"/>
      <c r="Q256" s="55" t="n"/>
      <c r="R256" s="50" t="n"/>
      <c r="S256" s="55" t="n"/>
      <c r="T256" s="56" t="n"/>
      <c r="U256" s="52" t="n"/>
      <c r="V256" s="52" t="n"/>
      <c r="W256" s="52" t="n"/>
      <c r="X256" s="53" t="str">
        <f>IF(AND(L256&lt;&gt;"",IF(ISNUMBER(U256),AND(U256&gt;=1,U256&lt;=10,U256=INT(U256)),FALSE),IF(ISNUMBER(V256),AND(V256&gt;=1,V256&lt;=10,V256=INT(V256)),FALSE),IF(ISNUMBER(W256),AND(W256&gt;=1,W256&lt;=10,W256=INT(W256)),FALSE)),U256*V256*W256,"")</f>
        <v/>
      </c>
      <c r="Y256" s="54" t="str">
        <f>IF(X256="","",IF(OR(U256&gt;=p_gmin,X256&gt;=p_ipr_crit),"Critique",IF(X256&gt;=p_ipr_act,"Élevée",IF(X256&gt;=p_ipr_watch,"Moyenne","Faible"))))</f>
        <v/>
      </c>
      <c r="Z256" s="57" t="str">
        <f>IF(X256="","",(L256-X256)/L256)</f>
        <v/>
      </c>
      <c r="AA256" s="54" t="str">
        <f>IF(AND(D256="",O256=""),"",IF(O256="",IF(N256="Oui","Action à définir",IF(N256="Non","Sans action","")),IF(R256="Annulée","Annulée",IF(R256="Réalisée",IF(X256="","À réévaluer","Réalisée"),IF(N(Q256)=0,"Échéance manquante",IF(Q256&lt;p_today,"En retard",IF(Q256-p_today&lt;=p_alert,"Échéance proche","Dans les délais")))))))</f>
        <v/>
      </c>
      <c r="AB256" s="58" t="str">
        <f>IF(AND(A256="",B256="",D256="",F256="",H256="",K256="",O256=""),"",IF(D256="","Mode de défaillance manquant",IF(AND(A256&lt;&gt;"",COUNTIF(am_num,A256)&gt;1),"N° en double",IF(F256="","Gravité G manquante",IF(NOT(IF(ISNUMBER(F256),AND(F256&gt;=1,F256&lt;=10,F256=INT(F256)),FALSE)),"G : entier de 1 à 10",IF(H256="","Occurrence O manquante",IF(NOT(IF(ISNUMBER(H256),AND(H256&gt;=1,H256&lt;=10,H256=INT(H256)),FALSE)),"O : entier de 1 à 10",IF(K256="","Détection D manquante",IF(NOT(IF(ISNUMBER(K256),AND(K256&gt;=1,K256&lt;=10,K256=INT(K256)),FALSE)),"D : entier de 1 à 10",IF(G256="","Cause manquante",IF(AND(O256&lt;&gt;"",P256=""),"Responsable manquant",IF(AND(R256&lt;&gt;"",O256=""),"Statut sans action",IF(AND(R256="Réalisée",N(S256)=0),"Date de réalisation manquante",IF(AND(T256&lt;&gt;"",IF(ISNUMBER(T256),T256&lt;0,TRUE)),"Coût invalide",IF(AND(COUNTBLANK(U256:W256)&gt;0,COUNTBLANK(U256:W256)&lt;3),"Cotation après action incomplète",IF(AND(COUNTBLANK(U256:W256)=0,X256=""),"G', O', D' : entiers de 1 à 10",IF(AND(X256&lt;&gt;"",X256&gt;L256),"IPR après action plus élevé","OK")))))))))))))))))</f>
        <v/>
      </c>
      <c r="AC256" s="59" t="str">
        <f>IF(OR(AA256="En retard",AA256="Échéance proche",AA256="Dans les délais",AA256="Échéance manquante",AA256="Action à définir",AA256="À réévaluer"),IF(OR(plan_who="",P256=plan_who),IF(N(Q256)&gt;0,Q256,99999)*1000+ROW(),""),"")</f>
        <v/>
      </c>
      <c r="AD256" s="59" t="str">
        <f>IF(L256="","",L256*1000+1000-ROW())</f>
        <v/>
      </c>
      <c r="AE256" s="59" t="str">
        <f>IF(IF(AA256="En retard",1,IF(AA256="Action à définir",2,IF(AA256="Échéance manquante",3,IF(AA256="Échéance proche",4,IF(AA256="À réévaluer",5,0)))))=0,"",IF(AA256="En retard",1,IF(AA256="Action à définir",2,IF(AA256="Échéance manquante",3,IF(AA256="Échéance proche",4,IF(AA256="À réévaluer",5,0)))))*100000000+IF(N(Q256)&gt;0,Q256,99999)*1000+ROW())</f>
        <v/>
      </c>
      <c r="AF256" s="59" t="str">
        <f>IF(X256&lt;&gt;"",X256,L256)</f>
        <v/>
      </c>
      <c r="AG256" s="59" t="str">
        <f>IF(X256&lt;&gt;"",Y256,IF(L256&lt;&gt;"",M256,""))</f>
        <v/>
      </c>
      <c r="AH256" s="59" t="str">
        <f>IF(L256="","",IF(X256&lt;&gt;"",U256,F256))</f>
        <v/>
      </c>
      <c r="AI256" s="59" t="str">
        <f>IF(L256="","",IF(X256&lt;&gt;"",V256,H256))</f>
        <v/>
      </c>
    </row>
    <row r="257" ht="30" customHeight="1">
      <c r="A257" s="50" t="n"/>
      <c r="B257" s="51" t="n"/>
      <c r="C257" s="51" t="n"/>
      <c r="D257" s="51" t="n"/>
      <c r="E257" s="51" t="n"/>
      <c r="F257" s="52" t="n"/>
      <c r="G257" s="51" t="n"/>
      <c r="H257" s="52" t="n"/>
      <c r="I257" s="51" t="n"/>
      <c r="J257" s="51" t="n"/>
      <c r="K257" s="52" t="n"/>
      <c r="L257" s="53" t="str">
        <f>IF(AND(IF(ISNUMBER(F257),AND(F257&gt;=1,F257&lt;=10,F257=INT(F257)),FALSE),IF(ISNUMBER(H257),AND(H257&gt;=1,H257&lt;=10,H257=INT(H257)),FALSE),IF(ISNUMBER(K257),AND(K257&gt;=1,K257&lt;=10,K257=INT(K257)),FALSE)),F257*H257*K257,"")</f>
        <v/>
      </c>
      <c r="M257" s="54" t="str">
        <f>IF(L257="",IF(D257="","","À coter"),IF(OR(F257&gt;=p_gmin,L257&gt;=p_ipr_crit),"Critique",IF(L257&gt;=p_ipr_act,"Élevée",IF(L257&gt;=p_ipr_watch,"Moyenne","Faible"))))</f>
        <v/>
      </c>
      <c r="N257" s="54" t="str">
        <f>IF(OR(M257="",M257="À coter"),"",IF(OR(M257="Critique",M257="Élevée"),"Oui","Non"))</f>
        <v/>
      </c>
      <c r="O257" s="51" t="n"/>
      <c r="P257" s="51" t="n"/>
      <c r="Q257" s="55" t="n"/>
      <c r="R257" s="50" t="n"/>
      <c r="S257" s="55" t="n"/>
      <c r="T257" s="56" t="n"/>
      <c r="U257" s="52" t="n"/>
      <c r="V257" s="52" t="n"/>
      <c r="W257" s="52" t="n"/>
      <c r="X257" s="53" t="str">
        <f>IF(AND(L257&lt;&gt;"",IF(ISNUMBER(U257),AND(U257&gt;=1,U257&lt;=10,U257=INT(U257)),FALSE),IF(ISNUMBER(V257),AND(V257&gt;=1,V257&lt;=10,V257=INT(V257)),FALSE),IF(ISNUMBER(W257),AND(W257&gt;=1,W257&lt;=10,W257=INT(W257)),FALSE)),U257*V257*W257,"")</f>
        <v/>
      </c>
      <c r="Y257" s="54" t="str">
        <f>IF(X257="","",IF(OR(U257&gt;=p_gmin,X257&gt;=p_ipr_crit),"Critique",IF(X257&gt;=p_ipr_act,"Élevée",IF(X257&gt;=p_ipr_watch,"Moyenne","Faible"))))</f>
        <v/>
      </c>
      <c r="Z257" s="57" t="str">
        <f>IF(X257="","",(L257-X257)/L257)</f>
        <v/>
      </c>
      <c r="AA257" s="54" t="str">
        <f>IF(AND(D257="",O257=""),"",IF(O257="",IF(N257="Oui","Action à définir",IF(N257="Non","Sans action","")),IF(R257="Annulée","Annulée",IF(R257="Réalisée",IF(X257="","À réévaluer","Réalisée"),IF(N(Q257)=0,"Échéance manquante",IF(Q257&lt;p_today,"En retard",IF(Q257-p_today&lt;=p_alert,"Échéance proche","Dans les délais")))))))</f>
        <v/>
      </c>
      <c r="AB257" s="58" t="str">
        <f>IF(AND(A257="",B257="",D257="",F257="",H257="",K257="",O257=""),"",IF(D257="","Mode de défaillance manquant",IF(AND(A257&lt;&gt;"",COUNTIF(am_num,A257)&gt;1),"N° en double",IF(F257="","Gravité G manquante",IF(NOT(IF(ISNUMBER(F257),AND(F257&gt;=1,F257&lt;=10,F257=INT(F257)),FALSE)),"G : entier de 1 à 10",IF(H257="","Occurrence O manquante",IF(NOT(IF(ISNUMBER(H257),AND(H257&gt;=1,H257&lt;=10,H257=INT(H257)),FALSE)),"O : entier de 1 à 10",IF(K257="","Détection D manquante",IF(NOT(IF(ISNUMBER(K257),AND(K257&gt;=1,K257&lt;=10,K257=INT(K257)),FALSE)),"D : entier de 1 à 10",IF(G257="","Cause manquante",IF(AND(O257&lt;&gt;"",P257=""),"Responsable manquant",IF(AND(R257&lt;&gt;"",O257=""),"Statut sans action",IF(AND(R257="Réalisée",N(S257)=0),"Date de réalisation manquante",IF(AND(T257&lt;&gt;"",IF(ISNUMBER(T257),T257&lt;0,TRUE)),"Coût invalide",IF(AND(COUNTBLANK(U257:W257)&gt;0,COUNTBLANK(U257:W257)&lt;3),"Cotation après action incomplète",IF(AND(COUNTBLANK(U257:W257)=0,X257=""),"G', O', D' : entiers de 1 à 10",IF(AND(X257&lt;&gt;"",X257&gt;L257),"IPR après action plus élevé","OK")))))))))))))))))</f>
        <v/>
      </c>
      <c r="AC257" s="59" t="str">
        <f>IF(OR(AA257="En retard",AA257="Échéance proche",AA257="Dans les délais",AA257="Échéance manquante",AA257="Action à définir",AA257="À réévaluer"),IF(OR(plan_who="",P257=plan_who),IF(N(Q257)&gt;0,Q257,99999)*1000+ROW(),""),"")</f>
        <v/>
      </c>
      <c r="AD257" s="59" t="str">
        <f>IF(L257="","",L257*1000+1000-ROW())</f>
        <v/>
      </c>
      <c r="AE257" s="59" t="str">
        <f>IF(IF(AA257="En retard",1,IF(AA257="Action à définir",2,IF(AA257="Échéance manquante",3,IF(AA257="Échéance proche",4,IF(AA257="À réévaluer",5,0)))))=0,"",IF(AA257="En retard",1,IF(AA257="Action à définir",2,IF(AA257="Échéance manquante",3,IF(AA257="Échéance proche",4,IF(AA257="À réévaluer",5,0)))))*100000000+IF(N(Q257)&gt;0,Q257,99999)*1000+ROW())</f>
        <v/>
      </c>
      <c r="AF257" s="59" t="str">
        <f>IF(X257&lt;&gt;"",X257,L257)</f>
        <v/>
      </c>
      <c r="AG257" s="59" t="str">
        <f>IF(X257&lt;&gt;"",Y257,IF(L257&lt;&gt;"",M257,""))</f>
        <v/>
      </c>
      <c r="AH257" s="59" t="str">
        <f>IF(L257="","",IF(X257&lt;&gt;"",U257,F257))</f>
        <v/>
      </c>
      <c r="AI257" s="59" t="str">
        <f>IF(L257="","",IF(X257&lt;&gt;"",V257,H257))</f>
        <v/>
      </c>
    </row>
    <row r="258" ht="30" customHeight="1">
      <c r="A258" s="50" t="n"/>
      <c r="B258" s="51" t="n"/>
      <c r="C258" s="51" t="n"/>
      <c r="D258" s="51" t="n"/>
      <c r="E258" s="51" t="n"/>
      <c r="F258" s="52" t="n"/>
      <c r="G258" s="51" t="n"/>
      <c r="H258" s="52" t="n"/>
      <c r="I258" s="51" t="n"/>
      <c r="J258" s="51" t="n"/>
      <c r="K258" s="52" t="n"/>
      <c r="L258" s="53" t="str">
        <f>IF(AND(IF(ISNUMBER(F258),AND(F258&gt;=1,F258&lt;=10,F258=INT(F258)),FALSE),IF(ISNUMBER(H258),AND(H258&gt;=1,H258&lt;=10,H258=INT(H258)),FALSE),IF(ISNUMBER(K258),AND(K258&gt;=1,K258&lt;=10,K258=INT(K258)),FALSE)),F258*H258*K258,"")</f>
        <v/>
      </c>
      <c r="M258" s="54" t="str">
        <f>IF(L258="",IF(D258="","","À coter"),IF(OR(F258&gt;=p_gmin,L258&gt;=p_ipr_crit),"Critique",IF(L258&gt;=p_ipr_act,"Élevée",IF(L258&gt;=p_ipr_watch,"Moyenne","Faible"))))</f>
        <v/>
      </c>
      <c r="N258" s="54" t="str">
        <f>IF(OR(M258="",M258="À coter"),"",IF(OR(M258="Critique",M258="Élevée"),"Oui","Non"))</f>
        <v/>
      </c>
      <c r="O258" s="51" t="n"/>
      <c r="P258" s="51" t="n"/>
      <c r="Q258" s="55" t="n"/>
      <c r="R258" s="50" t="n"/>
      <c r="S258" s="55" t="n"/>
      <c r="T258" s="56" t="n"/>
      <c r="U258" s="52" t="n"/>
      <c r="V258" s="52" t="n"/>
      <c r="W258" s="52" t="n"/>
      <c r="X258" s="53" t="str">
        <f>IF(AND(L258&lt;&gt;"",IF(ISNUMBER(U258),AND(U258&gt;=1,U258&lt;=10,U258=INT(U258)),FALSE),IF(ISNUMBER(V258),AND(V258&gt;=1,V258&lt;=10,V258=INT(V258)),FALSE),IF(ISNUMBER(W258),AND(W258&gt;=1,W258&lt;=10,W258=INT(W258)),FALSE)),U258*V258*W258,"")</f>
        <v/>
      </c>
      <c r="Y258" s="54" t="str">
        <f>IF(X258="","",IF(OR(U258&gt;=p_gmin,X258&gt;=p_ipr_crit),"Critique",IF(X258&gt;=p_ipr_act,"Élevée",IF(X258&gt;=p_ipr_watch,"Moyenne","Faible"))))</f>
        <v/>
      </c>
      <c r="Z258" s="57" t="str">
        <f>IF(X258="","",(L258-X258)/L258)</f>
        <v/>
      </c>
      <c r="AA258" s="54" t="str">
        <f>IF(AND(D258="",O258=""),"",IF(O258="",IF(N258="Oui","Action à définir",IF(N258="Non","Sans action","")),IF(R258="Annulée","Annulée",IF(R258="Réalisée",IF(X258="","À réévaluer","Réalisée"),IF(N(Q258)=0,"Échéance manquante",IF(Q258&lt;p_today,"En retard",IF(Q258-p_today&lt;=p_alert,"Échéance proche","Dans les délais")))))))</f>
        <v/>
      </c>
      <c r="AB258" s="58" t="str">
        <f>IF(AND(A258="",B258="",D258="",F258="",H258="",K258="",O258=""),"",IF(D258="","Mode de défaillance manquant",IF(AND(A258&lt;&gt;"",COUNTIF(am_num,A258)&gt;1),"N° en double",IF(F258="","Gravité G manquante",IF(NOT(IF(ISNUMBER(F258),AND(F258&gt;=1,F258&lt;=10,F258=INT(F258)),FALSE)),"G : entier de 1 à 10",IF(H258="","Occurrence O manquante",IF(NOT(IF(ISNUMBER(H258),AND(H258&gt;=1,H258&lt;=10,H258=INT(H258)),FALSE)),"O : entier de 1 à 10",IF(K258="","Détection D manquante",IF(NOT(IF(ISNUMBER(K258),AND(K258&gt;=1,K258&lt;=10,K258=INT(K258)),FALSE)),"D : entier de 1 à 10",IF(G258="","Cause manquante",IF(AND(O258&lt;&gt;"",P258=""),"Responsable manquant",IF(AND(R258&lt;&gt;"",O258=""),"Statut sans action",IF(AND(R258="Réalisée",N(S258)=0),"Date de réalisation manquante",IF(AND(T258&lt;&gt;"",IF(ISNUMBER(T258),T258&lt;0,TRUE)),"Coût invalide",IF(AND(COUNTBLANK(U258:W258)&gt;0,COUNTBLANK(U258:W258)&lt;3),"Cotation après action incomplète",IF(AND(COUNTBLANK(U258:W258)=0,X258=""),"G', O', D' : entiers de 1 à 10",IF(AND(X258&lt;&gt;"",X258&gt;L258),"IPR après action plus élevé","OK")))))))))))))))))</f>
        <v/>
      </c>
      <c r="AC258" s="59" t="str">
        <f>IF(OR(AA258="En retard",AA258="Échéance proche",AA258="Dans les délais",AA258="Échéance manquante",AA258="Action à définir",AA258="À réévaluer"),IF(OR(plan_who="",P258=plan_who),IF(N(Q258)&gt;0,Q258,99999)*1000+ROW(),""),"")</f>
        <v/>
      </c>
      <c r="AD258" s="59" t="str">
        <f>IF(L258="","",L258*1000+1000-ROW())</f>
        <v/>
      </c>
      <c r="AE258" s="59" t="str">
        <f>IF(IF(AA258="En retard",1,IF(AA258="Action à définir",2,IF(AA258="Échéance manquante",3,IF(AA258="Échéance proche",4,IF(AA258="À réévaluer",5,0)))))=0,"",IF(AA258="En retard",1,IF(AA258="Action à définir",2,IF(AA258="Échéance manquante",3,IF(AA258="Échéance proche",4,IF(AA258="À réévaluer",5,0)))))*100000000+IF(N(Q258)&gt;0,Q258,99999)*1000+ROW())</f>
        <v/>
      </c>
      <c r="AF258" s="59" t="str">
        <f>IF(X258&lt;&gt;"",X258,L258)</f>
        <v/>
      </c>
      <c r="AG258" s="59" t="str">
        <f>IF(X258&lt;&gt;"",Y258,IF(L258&lt;&gt;"",M258,""))</f>
        <v/>
      </c>
      <c r="AH258" s="59" t="str">
        <f>IF(L258="","",IF(X258&lt;&gt;"",U258,F258))</f>
        <v/>
      </c>
      <c r="AI258" s="59" t="str">
        <f>IF(L258="","",IF(X258&lt;&gt;"",V258,H258))</f>
        <v/>
      </c>
    </row>
    <row r="259" ht="30" customHeight="1">
      <c r="A259" s="50" t="n"/>
      <c r="B259" s="51" t="n"/>
      <c r="C259" s="51" t="n"/>
      <c r="D259" s="51" t="n"/>
      <c r="E259" s="51" t="n"/>
      <c r="F259" s="52" t="n"/>
      <c r="G259" s="51" t="n"/>
      <c r="H259" s="52" t="n"/>
      <c r="I259" s="51" t="n"/>
      <c r="J259" s="51" t="n"/>
      <c r="K259" s="52" t="n"/>
      <c r="L259" s="53" t="str">
        <f>IF(AND(IF(ISNUMBER(F259),AND(F259&gt;=1,F259&lt;=10,F259=INT(F259)),FALSE),IF(ISNUMBER(H259),AND(H259&gt;=1,H259&lt;=10,H259=INT(H259)),FALSE),IF(ISNUMBER(K259),AND(K259&gt;=1,K259&lt;=10,K259=INT(K259)),FALSE)),F259*H259*K259,"")</f>
        <v/>
      </c>
      <c r="M259" s="54" t="str">
        <f>IF(L259="",IF(D259="","","À coter"),IF(OR(F259&gt;=p_gmin,L259&gt;=p_ipr_crit),"Critique",IF(L259&gt;=p_ipr_act,"Élevée",IF(L259&gt;=p_ipr_watch,"Moyenne","Faible"))))</f>
        <v/>
      </c>
      <c r="N259" s="54" t="str">
        <f>IF(OR(M259="",M259="À coter"),"",IF(OR(M259="Critique",M259="Élevée"),"Oui","Non"))</f>
        <v/>
      </c>
      <c r="O259" s="51" t="n"/>
      <c r="P259" s="51" t="n"/>
      <c r="Q259" s="55" t="n"/>
      <c r="R259" s="50" t="n"/>
      <c r="S259" s="55" t="n"/>
      <c r="T259" s="56" t="n"/>
      <c r="U259" s="52" t="n"/>
      <c r="V259" s="52" t="n"/>
      <c r="W259" s="52" t="n"/>
      <c r="X259" s="53" t="str">
        <f>IF(AND(L259&lt;&gt;"",IF(ISNUMBER(U259),AND(U259&gt;=1,U259&lt;=10,U259=INT(U259)),FALSE),IF(ISNUMBER(V259),AND(V259&gt;=1,V259&lt;=10,V259=INT(V259)),FALSE),IF(ISNUMBER(W259),AND(W259&gt;=1,W259&lt;=10,W259=INT(W259)),FALSE)),U259*V259*W259,"")</f>
        <v/>
      </c>
      <c r="Y259" s="54" t="str">
        <f>IF(X259="","",IF(OR(U259&gt;=p_gmin,X259&gt;=p_ipr_crit),"Critique",IF(X259&gt;=p_ipr_act,"Élevée",IF(X259&gt;=p_ipr_watch,"Moyenne","Faible"))))</f>
        <v/>
      </c>
      <c r="Z259" s="57" t="str">
        <f>IF(X259="","",(L259-X259)/L259)</f>
        <v/>
      </c>
      <c r="AA259" s="54" t="str">
        <f>IF(AND(D259="",O259=""),"",IF(O259="",IF(N259="Oui","Action à définir",IF(N259="Non","Sans action","")),IF(R259="Annulée","Annulée",IF(R259="Réalisée",IF(X259="","À réévaluer","Réalisée"),IF(N(Q259)=0,"Échéance manquante",IF(Q259&lt;p_today,"En retard",IF(Q259-p_today&lt;=p_alert,"Échéance proche","Dans les délais")))))))</f>
        <v/>
      </c>
      <c r="AB259" s="58" t="str">
        <f>IF(AND(A259="",B259="",D259="",F259="",H259="",K259="",O259=""),"",IF(D259="","Mode de défaillance manquant",IF(AND(A259&lt;&gt;"",COUNTIF(am_num,A259)&gt;1),"N° en double",IF(F259="","Gravité G manquante",IF(NOT(IF(ISNUMBER(F259),AND(F259&gt;=1,F259&lt;=10,F259=INT(F259)),FALSE)),"G : entier de 1 à 10",IF(H259="","Occurrence O manquante",IF(NOT(IF(ISNUMBER(H259),AND(H259&gt;=1,H259&lt;=10,H259=INT(H259)),FALSE)),"O : entier de 1 à 10",IF(K259="","Détection D manquante",IF(NOT(IF(ISNUMBER(K259),AND(K259&gt;=1,K259&lt;=10,K259=INT(K259)),FALSE)),"D : entier de 1 à 10",IF(G259="","Cause manquante",IF(AND(O259&lt;&gt;"",P259=""),"Responsable manquant",IF(AND(R259&lt;&gt;"",O259=""),"Statut sans action",IF(AND(R259="Réalisée",N(S259)=0),"Date de réalisation manquante",IF(AND(T259&lt;&gt;"",IF(ISNUMBER(T259),T259&lt;0,TRUE)),"Coût invalide",IF(AND(COUNTBLANK(U259:W259)&gt;0,COUNTBLANK(U259:W259)&lt;3),"Cotation après action incomplète",IF(AND(COUNTBLANK(U259:W259)=0,X259=""),"G', O', D' : entiers de 1 à 10",IF(AND(X259&lt;&gt;"",X259&gt;L259),"IPR après action plus élevé","OK")))))))))))))))))</f>
        <v/>
      </c>
      <c r="AC259" s="59" t="str">
        <f>IF(OR(AA259="En retard",AA259="Échéance proche",AA259="Dans les délais",AA259="Échéance manquante",AA259="Action à définir",AA259="À réévaluer"),IF(OR(plan_who="",P259=plan_who),IF(N(Q259)&gt;0,Q259,99999)*1000+ROW(),""),"")</f>
        <v/>
      </c>
      <c r="AD259" s="59" t="str">
        <f>IF(L259="","",L259*1000+1000-ROW())</f>
        <v/>
      </c>
      <c r="AE259" s="59" t="str">
        <f>IF(IF(AA259="En retard",1,IF(AA259="Action à définir",2,IF(AA259="Échéance manquante",3,IF(AA259="Échéance proche",4,IF(AA259="À réévaluer",5,0)))))=0,"",IF(AA259="En retard",1,IF(AA259="Action à définir",2,IF(AA259="Échéance manquante",3,IF(AA259="Échéance proche",4,IF(AA259="À réévaluer",5,0)))))*100000000+IF(N(Q259)&gt;0,Q259,99999)*1000+ROW())</f>
        <v/>
      </c>
      <c r="AF259" s="59" t="str">
        <f>IF(X259&lt;&gt;"",X259,L259)</f>
        <v/>
      </c>
      <c r="AG259" s="59" t="str">
        <f>IF(X259&lt;&gt;"",Y259,IF(L259&lt;&gt;"",M259,""))</f>
        <v/>
      </c>
      <c r="AH259" s="59" t="str">
        <f>IF(L259="","",IF(X259&lt;&gt;"",U259,F259))</f>
        <v/>
      </c>
      <c r="AI259" s="59" t="str">
        <f>IF(L259="","",IF(X259&lt;&gt;"",V259,H259))</f>
        <v/>
      </c>
    </row>
    <row r="260" ht="30" customHeight="1">
      <c r="A260" s="50" t="n"/>
      <c r="B260" s="51" t="n"/>
      <c r="C260" s="51" t="n"/>
      <c r="D260" s="51" t="n"/>
      <c r="E260" s="51" t="n"/>
      <c r="F260" s="52" t="n"/>
      <c r="G260" s="51" t="n"/>
      <c r="H260" s="52" t="n"/>
      <c r="I260" s="51" t="n"/>
      <c r="J260" s="51" t="n"/>
      <c r="K260" s="52" t="n"/>
      <c r="L260" s="53" t="str">
        <f>IF(AND(IF(ISNUMBER(F260),AND(F260&gt;=1,F260&lt;=10,F260=INT(F260)),FALSE),IF(ISNUMBER(H260),AND(H260&gt;=1,H260&lt;=10,H260=INT(H260)),FALSE),IF(ISNUMBER(K260),AND(K260&gt;=1,K260&lt;=10,K260=INT(K260)),FALSE)),F260*H260*K260,"")</f>
        <v/>
      </c>
      <c r="M260" s="54" t="str">
        <f>IF(L260="",IF(D260="","","À coter"),IF(OR(F260&gt;=p_gmin,L260&gt;=p_ipr_crit),"Critique",IF(L260&gt;=p_ipr_act,"Élevée",IF(L260&gt;=p_ipr_watch,"Moyenne","Faible"))))</f>
        <v/>
      </c>
      <c r="N260" s="54" t="str">
        <f>IF(OR(M260="",M260="À coter"),"",IF(OR(M260="Critique",M260="Élevée"),"Oui","Non"))</f>
        <v/>
      </c>
      <c r="O260" s="51" t="n"/>
      <c r="P260" s="51" t="n"/>
      <c r="Q260" s="55" t="n"/>
      <c r="R260" s="50" t="n"/>
      <c r="S260" s="55" t="n"/>
      <c r="T260" s="56" t="n"/>
      <c r="U260" s="52" t="n"/>
      <c r="V260" s="52" t="n"/>
      <c r="W260" s="52" t="n"/>
      <c r="X260" s="53" t="str">
        <f>IF(AND(L260&lt;&gt;"",IF(ISNUMBER(U260),AND(U260&gt;=1,U260&lt;=10,U260=INT(U260)),FALSE),IF(ISNUMBER(V260),AND(V260&gt;=1,V260&lt;=10,V260=INT(V260)),FALSE),IF(ISNUMBER(W260),AND(W260&gt;=1,W260&lt;=10,W260=INT(W260)),FALSE)),U260*V260*W260,"")</f>
        <v/>
      </c>
      <c r="Y260" s="54" t="str">
        <f>IF(X260="","",IF(OR(U260&gt;=p_gmin,X260&gt;=p_ipr_crit),"Critique",IF(X260&gt;=p_ipr_act,"Élevée",IF(X260&gt;=p_ipr_watch,"Moyenne","Faible"))))</f>
        <v/>
      </c>
      <c r="Z260" s="57" t="str">
        <f>IF(X260="","",(L260-X260)/L260)</f>
        <v/>
      </c>
      <c r="AA260" s="54" t="str">
        <f>IF(AND(D260="",O260=""),"",IF(O260="",IF(N260="Oui","Action à définir",IF(N260="Non","Sans action","")),IF(R260="Annulée","Annulée",IF(R260="Réalisée",IF(X260="","À réévaluer","Réalisée"),IF(N(Q260)=0,"Échéance manquante",IF(Q260&lt;p_today,"En retard",IF(Q260-p_today&lt;=p_alert,"Échéance proche","Dans les délais")))))))</f>
        <v/>
      </c>
      <c r="AB260" s="58" t="str">
        <f>IF(AND(A260="",B260="",D260="",F260="",H260="",K260="",O260=""),"",IF(D260="","Mode de défaillance manquant",IF(AND(A260&lt;&gt;"",COUNTIF(am_num,A260)&gt;1),"N° en double",IF(F260="","Gravité G manquante",IF(NOT(IF(ISNUMBER(F260),AND(F260&gt;=1,F260&lt;=10,F260=INT(F260)),FALSE)),"G : entier de 1 à 10",IF(H260="","Occurrence O manquante",IF(NOT(IF(ISNUMBER(H260),AND(H260&gt;=1,H260&lt;=10,H260=INT(H260)),FALSE)),"O : entier de 1 à 10",IF(K260="","Détection D manquante",IF(NOT(IF(ISNUMBER(K260),AND(K260&gt;=1,K260&lt;=10,K260=INT(K260)),FALSE)),"D : entier de 1 à 10",IF(G260="","Cause manquante",IF(AND(O260&lt;&gt;"",P260=""),"Responsable manquant",IF(AND(R260&lt;&gt;"",O260=""),"Statut sans action",IF(AND(R260="Réalisée",N(S260)=0),"Date de réalisation manquante",IF(AND(T260&lt;&gt;"",IF(ISNUMBER(T260),T260&lt;0,TRUE)),"Coût invalide",IF(AND(COUNTBLANK(U260:W260)&gt;0,COUNTBLANK(U260:W260)&lt;3),"Cotation après action incomplète",IF(AND(COUNTBLANK(U260:W260)=0,X260=""),"G', O', D' : entiers de 1 à 10",IF(AND(X260&lt;&gt;"",X260&gt;L260),"IPR après action plus élevé","OK")))))))))))))))))</f>
        <v/>
      </c>
      <c r="AC260" s="59" t="str">
        <f>IF(OR(AA260="En retard",AA260="Échéance proche",AA260="Dans les délais",AA260="Échéance manquante",AA260="Action à définir",AA260="À réévaluer"),IF(OR(plan_who="",P260=plan_who),IF(N(Q260)&gt;0,Q260,99999)*1000+ROW(),""),"")</f>
        <v/>
      </c>
      <c r="AD260" s="59" t="str">
        <f>IF(L260="","",L260*1000+1000-ROW())</f>
        <v/>
      </c>
      <c r="AE260" s="59" t="str">
        <f>IF(IF(AA260="En retard",1,IF(AA260="Action à définir",2,IF(AA260="Échéance manquante",3,IF(AA260="Échéance proche",4,IF(AA260="À réévaluer",5,0)))))=0,"",IF(AA260="En retard",1,IF(AA260="Action à définir",2,IF(AA260="Échéance manquante",3,IF(AA260="Échéance proche",4,IF(AA260="À réévaluer",5,0)))))*100000000+IF(N(Q260)&gt;0,Q260,99999)*1000+ROW())</f>
        <v/>
      </c>
      <c r="AF260" s="59" t="str">
        <f>IF(X260&lt;&gt;"",X260,L260)</f>
        <v/>
      </c>
      <c r="AG260" s="59" t="str">
        <f>IF(X260&lt;&gt;"",Y260,IF(L260&lt;&gt;"",M260,""))</f>
        <v/>
      </c>
      <c r="AH260" s="59" t="str">
        <f>IF(L260="","",IF(X260&lt;&gt;"",U260,F260))</f>
        <v/>
      </c>
      <c r="AI260" s="59" t="str">
        <f>IF(L260="","",IF(X260&lt;&gt;"",V260,H260))</f>
        <v/>
      </c>
    </row>
    <row r="261" ht="30" customHeight="1">
      <c r="A261" s="50" t="n"/>
      <c r="B261" s="51" t="n"/>
      <c r="C261" s="51" t="n"/>
      <c r="D261" s="51" t="n"/>
      <c r="E261" s="51" t="n"/>
      <c r="F261" s="52" t="n"/>
      <c r="G261" s="51" t="n"/>
      <c r="H261" s="52" t="n"/>
      <c r="I261" s="51" t="n"/>
      <c r="J261" s="51" t="n"/>
      <c r="K261" s="52" t="n"/>
      <c r="L261" s="53" t="str">
        <f>IF(AND(IF(ISNUMBER(F261),AND(F261&gt;=1,F261&lt;=10,F261=INT(F261)),FALSE),IF(ISNUMBER(H261),AND(H261&gt;=1,H261&lt;=10,H261=INT(H261)),FALSE),IF(ISNUMBER(K261),AND(K261&gt;=1,K261&lt;=10,K261=INT(K261)),FALSE)),F261*H261*K261,"")</f>
        <v/>
      </c>
      <c r="M261" s="54" t="str">
        <f>IF(L261="",IF(D261="","","À coter"),IF(OR(F261&gt;=p_gmin,L261&gt;=p_ipr_crit),"Critique",IF(L261&gt;=p_ipr_act,"Élevée",IF(L261&gt;=p_ipr_watch,"Moyenne","Faible"))))</f>
        <v/>
      </c>
      <c r="N261" s="54" t="str">
        <f>IF(OR(M261="",M261="À coter"),"",IF(OR(M261="Critique",M261="Élevée"),"Oui","Non"))</f>
        <v/>
      </c>
      <c r="O261" s="51" t="n"/>
      <c r="P261" s="51" t="n"/>
      <c r="Q261" s="55" t="n"/>
      <c r="R261" s="50" t="n"/>
      <c r="S261" s="55" t="n"/>
      <c r="T261" s="56" t="n"/>
      <c r="U261" s="52" t="n"/>
      <c r="V261" s="52" t="n"/>
      <c r="W261" s="52" t="n"/>
      <c r="X261" s="53" t="str">
        <f>IF(AND(L261&lt;&gt;"",IF(ISNUMBER(U261),AND(U261&gt;=1,U261&lt;=10,U261=INT(U261)),FALSE),IF(ISNUMBER(V261),AND(V261&gt;=1,V261&lt;=10,V261=INT(V261)),FALSE),IF(ISNUMBER(W261),AND(W261&gt;=1,W261&lt;=10,W261=INT(W261)),FALSE)),U261*V261*W261,"")</f>
        <v/>
      </c>
      <c r="Y261" s="54" t="str">
        <f>IF(X261="","",IF(OR(U261&gt;=p_gmin,X261&gt;=p_ipr_crit),"Critique",IF(X261&gt;=p_ipr_act,"Élevée",IF(X261&gt;=p_ipr_watch,"Moyenne","Faible"))))</f>
        <v/>
      </c>
      <c r="Z261" s="57" t="str">
        <f>IF(X261="","",(L261-X261)/L261)</f>
        <v/>
      </c>
      <c r="AA261" s="54" t="str">
        <f>IF(AND(D261="",O261=""),"",IF(O261="",IF(N261="Oui","Action à définir",IF(N261="Non","Sans action","")),IF(R261="Annulée","Annulée",IF(R261="Réalisée",IF(X261="","À réévaluer","Réalisée"),IF(N(Q261)=0,"Échéance manquante",IF(Q261&lt;p_today,"En retard",IF(Q261-p_today&lt;=p_alert,"Échéance proche","Dans les délais")))))))</f>
        <v/>
      </c>
      <c r="AB261" s="58" t="str">
        <f>IF(AND(A261="",B261="",D261="",F261="",H261="",K261="",O261=""),"",IF(D261="","Mode de défaillance manquant",IF(AND(A261&lt;&gt;"",COUNTIF(am_num,A261)&gt;1),"N° en double",IF(F261="","Gravité G manquante",IF(NOT(IF(ISNUMBER(F261),AND(F261&gt;=1,F261&lt;=10,F261=INT(F261)),FALSE)),"G : entier de 1 à 10",IF(H261="","Occurrence O manquante",IF(NOT(IF(ISNUMBER(H261),AND(H261&gt;=1,H261&lt;=10,H261=INT(H261)),FALSE)),"O : entier de 1 à 10",IF(K261="","Détection D manquante",IF(NOT(IF(ISNUMBER(K261),AND(K261&gt;=1,K261&lt;=10,K261=INT(K261)),FALSE)),"D : entier de 1 à 10",IF(G261="","Cause manquante",IF(AND(O261&lt;&gt;"",P261=""),"Responsable manquant",IF(AND(R261&lt;&gt;"",O261=""),"Statut sans action",IF(AND(R261="Réalisée",N(S261)=0),"Date de réalisation manquante",IF(AND(T261&lt;&gt;"",IF(ISNUMBER(T261),T261&lt;0,TRUE)),"Coût invalide",IF(AND(COUNTBLANK(U261:W261)&gt;0,COUNTBLANK(U261:W261)&lt;3),"Cotation après action incomplète",IF(AND(COUNTBLANK(U261:W261)=0,X261=""),"G', O', D' : entiers de 1 à 10",IF(AND(X261&lt;&gt;"",X261&gt;L261),"IPR après action plus élevé","OK")))))))))))))))))</f>
        <v/>
      </c>
      <c r="AC261" s="59" t="str">
        <f>IF(OR(AA261="En retard",AA261="Échéance proche",AA261="Dans les délais",AA261="Échéance manquante",AA261="Action à définir",AA261="À réévaluer"),IF(OR(plan_who="",P261=plan_who),IF(N(Q261)&gt;0,Q261,99999)*1000+ROW(),""),"")</f>
        <v/>
      </c>
      <c r="AD261" s="59" t="str">
        <f>IF(L261="","",L261*1000+1000-ROW())</f>
        <v/>
      </c>
      <c r="AE261" s="59" t="str">
        <f>IF(IF(AA261="En retard",1,IF(AA261="Action à définir",2,IF(AA261="Échéance manquante",3,IF(AA261="Échéance proche",4,IF(AA261="À réévaluer",5,0)))))=0,"",IF(AA261="En retard",1,IF(AA261="Action à définir",2,IF(AA261="Échéance manquante",3,IF(AA261="Échéance proche",4,IF(AA261="À réévaluer",5,0)))))*100000000+IF(N(Q261)&gt;0,Q261,99999)*1000+ROW())</f>
        <v/>
      </c>
      <c r="AF261" s="59" t="str">
        <f>IF(X261&lt;&gt;"",X261,L261)</f>
        <v/>
      </c>
      <c r="AG261" s="59" t="str">
        <f>IF(X261&lt;&gt;"",Y261,IF(L261&lt;&gt;"",M261,""))</f>
        <v/>
      </c>
      <c r="AH261" s="59" t="str">
        <f>IF(L261="","",IF(X261&lt;&gt;"",U261,F261))</f>
        <v/>
      </c>
      <c r="AI261" s="59" t="str">
        <f>IF(L261="","",IF(X261&lt;&gt;"",V261,H261))</f>
        <v/>
      </c>
    </row>
    <row r="262" ht="30" customHeight="1">
      <c r="A262" s="50" t="n"/>
      <c r="B262" s="51" t="n"/>
      <c r="C262" s="51" t="n"/>
      <c r="D262" s="51" t="n"/>
      <c r="E262" s="51" t="n"/>
      <c r="F262" s="52" t="n"/>
      <c r="G262" s="51" t="n"/>
      <c r="H262" s="52" t="n"/>
      <c r="I262" s="51" t="n"/>
      <c r="J262" s="51" t="n"/>
      <c r="K262" s="52" t="n"/>
      <c r="L262" s="53" t="str">
        <f>IF(AND(IF(ISNUMBER(F262),AND(F262&gt;=1,F262&lt;=10,F262=INT(F262)),FALSE),IF(ISNUMBER(H262),AND(H262&gt;=1,H262&lt;=10,H262=INT(H262)),FALSE),IF(ISNUMBER(K262),AND(K262&gt;=1,K262&lt;=10,K262=INT(K262)),FALSE)),F262*H262*K262,"")</f>
        <v/>
      </c>
      <c r="M262" s="54" t="str">
        <f>IF(L262="",IF(D262="","","À coter"),IF(OR(F262&gt;=p_gmin,L262&gt;=p_ipr_crit),"Critique",IF(L262&gt;=p_ipr_act,"Élevée",IF(L262&gt;=p_ipr_watch,"Moyenne","Faible"))))</f>
        <v/>
      </c>
      <c r="N262" s="54" t="str">
        <f>IF(OR(M262="",M262="À coter"),"",IF(OR(M262="Critique",M262="Élevée"),"Oui","Non"))</f>
        <v/>
      </c>
      <c r="O262" s="51" t="n"/>
      <c r="P262" s="51" t="n"/>
      <c r="Q262" s="55" t="n"/>
      <c r="R262" s="50" t="n"/>
      <c r="S262" s="55" t="n"/>
      <c r="T262" s="56" t="n"/>
      <c r="U262" s="52" t="n"/>
      <c r="V262" s="52" t="n"/>
      <c r="W262" s="52" t="n"/>
      <c r="X262" s="53" t="str">
        <f>IF(AND(L262&lt;&gt;"",IF(ISNUMBER(U262),AND(U262&gt;=1,U262&lt;=10,U262=INT(U262)),FALSE),IF(ISNUMBER(V262),AND(V262&gt;=1,V262&lt;=10,V262=INT(V262)),FALSE),IF(ISNUMBER(W262),AND(W262&gt;=1,W262&lt;=10,W262=INT(W262)),FALSE)),U262*V262*W262,"")</f>
        <v/>
      </c>
      <c r="Y262" s="54" t="str">
        <f>IF(X262="","",IF(OR(U262&gt;=p_gmin,X262&gt;=p_ipr_crit),"Critique",IF(X262&gt;=p_ipr_act,"Élevée",IF(X262&gt;=p_ipr_watch,"Moyenne","Faible"))))</f>
        <v/>
      </c>
      <c r="Z262" s="57" t="str">
        <f>IF(X262="","",(L262-X262)/L262)</f>
        <v/>
      </c>
      <c r="AA262" s="54" t="str">
        <f>IF(AND(D262="",O262=""),"",IF(O262="",IF(N262="Oui","Action à définir",IF(N262="Non","Sans action","")),IF(R262="Annulée","Annulée",IF(R262="Réalisée",IF(X262="","À réévaluer","Réalisée"),IF(N(Q262)=0,"Échéance manquante",IF(Q262&lt;p_today,"En retard",IF(Q262-p_today&lt;=p_alert,"Échéance proche","Dans les délais")))))))</f>
        <v/>
      </c>
      <c r="AB262" s="58" t="str">
        <f>IF(AND(A262="",B262="",D262="",F262="",H262="",K262="",O262=""),"",IF(D262="","Mode de défaillance manquant",IF(AND(A262&lt;&gt;"",COUNTIF(am_num,A262)&gt;1),"N° en double",IF(F262="","Gravité G manquante",IF(NOT(IF(ISNUMBER(F262),AND(F262&gt;=1,F262&lt;=10,F262=INT(F262)),FALSE)),"G : entier de 1 à 10",IF(H262="","Occurrence O manquante",IF(NOT(IF(ISNUMBER(H262),AND(H262&gt;=1,H262&lt;=10,H262=INT(H262)),FALSE)),"O : entier de 1 à 10",IF(K262="","Détection D manquante",IF(NOT(IF(ISNUMBER(K262),AND(K262&gt;=1,K262&lt;=10,K262=INT(K262)),FALSE)),"D : entier de 1 à 10",IF(G262="","Cause manquante",IF(AND(O262&lt;&gt;"",P262=""),"Responsable manquant",IF(AND(R262&lt;&gt;"",O262=""),"Statut sans action",IF(AND(R262="Réalisée",N(S262)=0),"Date de réalisation manquante",IF(AND(T262&lt;&gt;"",IF(ISNUMBER(T262),T262&lt;0,TRUE)),"Coût invalide",IF(AND(COUNTBLANK(U262:W262)&gt;0,COUNTBLANK(U262:W262)&lt;3),"Cotation après action incomplète",IF(AND(COUNTBLANK(U262:W262)=0,X262=""),"G', O', D' : entiers de 1 à 10",IF(AND(X262&lt;&gt;"",X262&gt;L262),"IPR après action plus élevé","OK")))))))))))))))))</f>
        <v/>
      </c>
      <c r="AC262" s="59" t="str">
        <f>IF(OR(AA262="En retard",AA262="Échéance proche",AA262="Dans les délais",AA262="Échéance manquante",AA262="Action à définir",AA262="À réévaluer"),IF(OR(plan_who="",P262=plan_who),IF(N(Q262)&gt;0,Q262,99999)*1000+ROW(),""),"")</f>
        <v/>
      </c>
      <c r="AD262" s="59" t="str">
        <f>IF(L262="","",L262*1000+1000-ROW())</f>
        <v/>
      </c>
      <c r="AE262" s="59" t="str">
        <f>IF(IF(AA262="En retard",1,IF(AA262="Action à définir",2,IF(AA262="Échéance manquante",3,IF(AA262="Échéance proche",4,IF(AA262="À réévaluer",5,0)))))=0,"",IF(AA262="En retard",1,IF(AA262="Action à définir",2,IF(AA262="Échéance manquante",3,IF(AA262="Échéance proche",4,IF(AA262="À réévaluer",5,0)))))*100000000+IF(N(Q262)&gt;0,Q262,99999)*1000+ROW())</f>
        <v/>
      </c>
      <c r="AF262" s="59" t="str">
        <f>IF(X262&lt;&gt;"",X262,L262)</f>
        <v/>
      </c>
      <c r="AG262" s="59" t="str">
        <f>IF(X262&lt;&gt;"",Y262,IF(L262&lt;&gt;"",M262,""))</f>
        <v/>
      </c>
      <c r="AH262" s="59" t="str">
        <f>IF(L262="","",IF(X262&lt;&gt;"",U262,F262))</f>
        <v/>
      </c>
      <c r="AI262" s="59" t="str">
        <f>IF(L262="","",IF(X262&lt;&gt;"",V262,H262))</f>
        <v/>
      </c>
    </row>
    <row r="263" ht="30" customHeight="1">
      <c r="A263" s="50" t="n"/>
      <c r="B263" s="51" t="n"/>
      <c r="C263" s="51" t="n"/>
      <c r="D263" s="51" t="n"/>
      <c r="E263" s="51" t="n"/>
      <c r="F263" s="52" t="n"/>
      <c r="G263" s="51" t="n"/>
      <c r="H263" s="52" t="n"/>
      <c r="I263" s="51" t="n"/>
      <c r="J263" s="51" t="n"/>
      <c r="K263" s="52" t="n"/>
      <c r="L263" s="53" t="str">
        <f>IF(AND(IF(ISNUMBER(F263),AND(F263&gt;=1,F263&lt;=10,F263=INT(F263)),FALSE),IF(ISNUMBER(H263),AND(H263&gt;=1,H263&lt;=10,H263=INT(H263)),FALSE),IF(ISNUMBER(K263),AND(K263&gt;=1,K263&lt;=10,K263=INT(K263)),FALSE)),F263*H263*K263,"")</f>
        <v/>
      </c>
      <c r="M263" s="54" t="str">
        <f>IF(L263="",IF(D263="","","À coter"),IF(OR(F263&gt;=p_gmin,L263&gt;=p_ipr_crit),"Critique",IF(L263&gt;=p_ipr_act,"Élevée",IF(L263&gt;=p_ipr_watch,"Moyenne","Faible"))))</f>
        <v/>
      </c>
      <c r="N263" s="54" t="str">
        <f>IF(OR(M263="",M263="À coter"),"",IF(OR(M263="Critique",M263="Élevée"),"Oui","Non"))</f>
        <v/>
      </c>
      <c r="O263" s="51" t="n"/>
      <c r="P263" s="51" t="n"/>
      <c r="Q263" s="55" t="n"/>
      <c r="R263" s="50" t="n"/>
      <c r="S263" s="55" t="n"/>
      <c r="T263" s="56" t="n"/>
      <c r="U263" s="52" t="n"/>
      <c r="V263" s="52" t="n"/>
      <c r="W263" s="52" t="n"/>
      <c r="X263" s="53" t="str">
        <f>IF(AND(L263&lt;&gt;"",IF(ISNUMBER(U263),AND(U263&gt;=1,U263&lt;=10,U263=INT(U263)),FALSE),IF(ISNUMBER(V263),AND(V263&gt;=1,V263&lt;=10,V263=INT(V263)),FALSE),IF(ISNUMBER(W263),AND(W263&gt;=1,W263&lt;=10,W263=INT(W263)),FALSE)),U263*V263*W263,"")</f>
        <v/>
      </c>
      <c r="Y263" s="54" t="str">
        <f>IF(X263="","",IF(OR(U263&gt;=p_gmin,X263&gt;=p_ipr_crit),"Critique",IF(X263&gt;=p_ipr_act,"Élevée",IF(X263&gt;=p_ipr_watch,"Moyenne","Faible"))))</f>
        <v/>
      </c>
      <c r="Z263" s="57" t="str">
        <f>IF(X263="","",(L263-X263)/L263)</f>
        <v/>
      </c>
      <c r="AA263" s="54" t="str">
        <f>IF(AND(D263="",O263=""),"",IF(O263="",IF(N263="Oui","Action à définir",IF(N263="Non","Sans action","")),IF(R263="Annulée","Annulée",IF(R263="Réalisée",IF(X263="","À réévaluer","Réalisée"),IF(N(Q263)=0,"Échéance manquante",IF(Q263&lt;p_today,"En retard",IF(Q263-p_today&lt;=p_alert,"Échéance proche","Dans les délais")))))))</f>
        <v/>
      </c>
      <c r="AB263" s="58" t="str">
        <f>IF(AND(A263="",B263="",D263="",F263="",H263="",K263="",O263=""),"",IF(D263="","Mode de défaillance manquant",IF(AND(A263&lt;&gt;"",COUNTIF(am_num,A263)&gt;1),"N° en double",IF(F263="","Gravité G manquante",IF(NOT(IF(ISNUMBER(F263),AND(F263&gt;=1,F263&lt;=10,F263=INT(F263)),FALSE)),"G : entier de 1 à 10",IF(H263="","Occurrence O manquante",IF(NOT(IF(ISNUMBER(H263),AND(H263&gt;=1,H263&lt;=10,H263=INT(H263)),FALSE)),"O : entier de 1 à 10",IF(K263="","Détection D manquante",IF(NOT(IF(ISNUMBER(K263),AND(K263&gt;=1,K263&lt;=10,K263=INT(K263)),FALSE)),"D : entier de 1 à 10",IF(G263="","Cause manquante",IF(AND(O263&lt;&gt;"",P263=""),"Responsable manquant",IF(AND(R263&lt;&gt;"",O263=""),"Statut sans action",IF(AND(R263="Réalisée",N(S263)=0),"Date de réalisation manquante",IF(AND(T263&lt;&gt;"",IF(ISNUMBER(T263),T263&lt;0,TRUE)),"Coût invalide",IF(AND(COUNTBLANK(U263:W263)&gt;0,COUNTBLANK(U263:W263)&lt;3),"Cotation après action incomplète",IF(AND(COUNTBLANK(U263:W263)=0,X263=""),"G', O', D' : entiers de 1 à 10",IF(AND(X263&lt;&gt;"",X263&gt;L263),"IPR après action plus élevé","OK")))))))))))))))))</f>
        <v/>
      </c>
      <c r="AC263" s="59" t="str">
        <f>IF(OR(AA263="En retard",AA263="Échéance proche",AA263="Dans les délais",AA263="Échéance manquante",AA263="Action à définir",AA263="À réévaluer"),IF(OR(plan_who="",P263=plan_who),IF(N(Q263)&gt;0,Q263,99999)*1000+ROW(),""),"")</f>
        <v/>
      </c>
      <c r="AD263" s="59" t="str">
        <f>IF(L263="","",L263*1000+1000-ROW())</f>
        <v/>
      </c>
      <c r="AE263" s="59" t="str">
        <f>IF(IF(AA263="En retard",1,IF(AA263="Action à définir",2,IF(AA263="Échéance manquante",3,IF(AA263="Échéance proche",4,IF(AA263="À réévaluer",5,0)))))=0,"",IF(AA263="En retard",1,IF(AA263="Action à définir",2,IF(AA263="Échéance manquante",3,IF(AA263="Échéance proche",4,IF(AA263="À réévaluer",5,0)))))*100000000+IF(N(Q263)&gt;0,Q263,99999)*1000+ROW())</f>
        <v/>
      </c>
      <c r="AF263" s="59" t="str">
        <f>IF(X263&lt;&gt;"",X263,L263)</f>
        <v/>
      </c>
      <c r="AG263" s="59" t="str">
        <f>IF(X263&lt;&gt;"",Y263,IF(L263&lt;&gt;"",M263,""))</f>
        <v/>
      </c>
      <c r="AH263" s="59" t="str">
        <f>IF(L263="","",IF(X263&lt;&gt;"",U263,F263))</f>
        <v/>
      </c>
      <c r="AI263" s="59" t="str">
        <f>IF(L263="","",IF(X263&lt;&gt;"",V263,H263))</f>
        <v/>
      </c>
    </row>
    <row r="264" ht="30" customHeight="1">
      <c r="A264" s="50" t="n"/>
      <c r="B264" s="51" t="n"/>
      <c r="C264" s="51" t="n"/>
      <c r="D264" s="51" t="n"/>
      <c r="E264" s="51" t="n"/>
      <c r="F264" s="52" t="n"/>
      <c r="G264" s="51" t="n"/>
      <c r="H264" s="52" t="n"/>
      <c r="I264" s="51" t="n"/>
      <c r="J264" s="51" t="n"/>
      <c r="K264" s="52" t="n"/>
      <c r="L264" s="53" t="str">
        <f>IF(AND(IF(ISNUMBER(F264),AND(F264&gt;=1,F264&lt;=10,F264=INT(F264)),FALSE),IF(ISNUMBER(H264),AND(H264&gt;=1,H264&lt;=10,H264=INT(H264)),FALSE),IF(ISNUMBER(K264),AND(K264&gt;=1,K264&lt;=10,K264=INT(K264)),FALSE)),F264*H264*K264,"")</f>
        <v/>
      </c>
      <c r="M264" s="54" t="str">
        <f>IF(L264="",IF(D264="","","À coter"),IF(OR(F264&gt;=p_gmin,L264&gt;=p_ipr_crit),"Critique",IF(L264&gt;=p_ipr_act,"Élevée",IF(L264&gt;=p_ipr_watch,"Moyenne","Faible"))))</f>
        <v/>
      </c>
      <c r="N264" s="54" t="str">
        <f>IF(OR(M264="",M264="À coter"),"",IF(OR(M264="Critique",M264="Élevée"),"Oui","Non"))</f>
        <v/>
      </c>
      <c r="O264" s="51" t="n"/>
      <c r="P264" s="51" t="n"/>
      <c r="Q264" s="55" t="n"/>
      <c r="R264" s="50" t="n"/>
      <c r="S264" s="55" t="n"/>
      <c r="T264" s="56" t="n"/>
      <c r="U264" s="52" t="n"/>
      <c r="V264" s="52" t="n"/>
      <c r="W264" s="52" t="n"/>
      <c r="X264" s="53" t="str">
        <f>IF(AND(L264&lt;&gt;"",IF(ISNUMBER(U264),AND(U264&gt;=1,U264&lt;=10,U264=INT(U264)),FALSE),IF(ISNUMBER(V264),AND(V264&gt;=1,V264&lt;=10,V264=INT(V264)),FALSE),IF(ISNUMBER(W264),AND(W264&gt;=1,W264&lt;=10,W264=INT(W264)),FALSE)),U264*V264*W264,"")</f>
        <v/>
      </c>
      <c r="Y264" s="54" t="str">
        <f>IF(X264="","",IF(OR(U264&gt;=p_gmin,X264&gt;=p_ipr_crit),"Critique",IF(X264&gt;=p_ipr_act,"Élevée",IF(X264&gt;=p_ipr_watch,"Moyenne","Faible"))))</f>
        <v/>
      </c>
      <c r="Z264" s="57" t="str">
        <f>IF(X264="","",(L264-X264)/L264)</f>
        <v/>
      </c>
      <c r="AA264" s="54" t="str">
        <f>IF(AND(D264="",O264=""),"",IF(O264="",IF(N264="Oui","Action à définir",IF(N264="Non","Sans action","")),IF(R264="Annulée","Annulée",IF(R264="Réalisée",IF(X264="","À réévaluer","Réalisée"),IF(N(Q264)=0,"Échéance manquante",IF(Q264&lt;p_today,"En retard",IF(Q264-p_today&lt;=p_alert,"Échéance proche","Dans les délais")))))))</f>
        <v/>
      </c>
      <c r="AB264" s="58" t="str">
        <f>IF(AND(A264="",B264="",D264="",F264="",H264="",K264="",O264=""),"",IF(D264="","Mode de défaillance manquant",IF(AND(A264&lt;&gt;"",COUNTIF(am_num,A264)&gt;1),"N° en double",IF(F264="","Gravité G manquante",IF(NOT(IF(ISNUMBER(F264),AND(F264&gt;=1,F264&lt;=10,F264=INT(F264)),FALSE)),"G : entier de 1 à 10",IF(H264="","Occurrence O manquante",IF(NOT(IF(ISNUMBER(H264),AND(H264&gt;=1,H264&lt;=10,H264=INT(H264)),FALSE)),"O : entier de 1 à 10",IF(K264="","Détection D manquante",IF(NOT(IF(ISNUMBER(K264),AND(K264&gt;=1,K264&lt;=10,K264=INT(K264)),FALSE)),"D : entier de 1 à 10",IF(G264="","Cause manquante",IF(AND(O264&lt;&gt;"",P264=""),"Responsable manquant",IF(AND(R264&lt;&gt;"",O264=""),"Statut sans action",IF(AND(R264="Réalisée",N(S264)=0),"Date de réalisation manquante",IF(AND(T264&lt;&gt;"",IF(ISNUMBER(T264),T264&lt;0,TRUE)),"Coût invalide",IF(AND(COUNTBLANK(U264:W264)&gt;0,COUNTBLANK(U264:W264)&lt;3),"Cotation après action incomplète",IF(AND(COUNTBLANK(U264:W264)=0,X264=""),"G', O', D' : entiers de 1 à 10",IF(AND(X264&lt;&gt;"",X264&gt;L264),"IPR après action plus élevé","OK")))))))))))))))))</f>
        <v/>
      </c>
      <c r="AC264" s="59" t="str">
        <f>IF(OR(AA264="En retard",AA264="Échéance proche",AA264="Dans les délais",AA264="Échéance manquante",AA264="Action à définir",AA264="À réévaluer"),IF(OR(plan_who="",P264=plan_who),IF(N(Q264)&gt;0,Q264,99999)*1000+ROW(),""),"")</f>
        <v/>
      </c>
      <c r="AD264" s="59" t="str">
        <f>IF(L264="","",L264*1000+1000-ROW())</f>
        <v/>
      </c>
      <c r="AE264" s="59" t="str">
        <f>IF(IF(AA264="En retard",1,IF(AA264="Action à définir",2,IF(AA264="Échéance manquante",3,IF(AA264="Échéance proche",4,IF(AA264="À réévaluer",5,0)))))=0,"",IF(AA264="En retard",1,IF(AA264="Action à définir",2,IF(AA264="Échéance manquante",3,IF(AA264="Échéance proche",4,IF(AA264="À réévaluer",5,0)))))*100000000+IF(N(Q264)&gt;0,Q264,99999)*1000+ROW())</f>
        <v/>
      </c>
      <c r="AF264" s="59" t="str">
        <f>IF(X264&lt;&gt;"",X264,L264)</f>
        <v/>
      </c>
      <c r="AG264" s="59" t="str">
        <f>IF(X264&lt;&gt;"",Y264,IF(L264&lt;&gt;"",M264,""))</f>
        <v/>
      </c>
      <c r="AH264" s="59" t="str">
        <f>IF(L264="","",IF(X264&lt;&gt;"",U264,F264))</f>
        <v/>
      </c>
      <c r="AI264" s="59" t="str">
        <f>IF(L264="","",IF(X264&lt;&gt;"",V264,H264))</f>
        <v/>
      </c>
    </row>
    <row r="265" ht="30" customHeight="1">
      <c r="A265" s="50" t="n"/>
      <c r="B265" s="51" t="n"/>
      <c r="C265" s="51" t="n"/>
      <c r="D265" s="51" t="n"/>
      <c r="E265" s="51" t="n"/>
      <c r="F265" s="52" t="n"/>
      <c r="G265" s="51" t="n"/>
      <c r="H265" s="52" t="n"/>
      <c r="I265" s="51" t="n"/>
      <c r="J265" s="51" t="n"/>
      <c r="K265" s="52" t="n"/>
      <c r="L265" s="53" t="str">
        <f>IF(AND(IF(ISNUMBER(F265),AND(F265&gt;=1,F265&lt;=10,F265=INT(F265)),FALSE),IF(ISNUMBER(H265),AND(H265&gt;=1,H265&lt;=10,H265=INT(H265)),FALSE),IF(ISNUMBER(K265),AND(K265&gt;=1,K265&lt;=10,K265=INT(K265)),FALSE)),F265*H265*K265,"")</f>
        <v/>
      </c>
      <c r="M265" s="54" t="str">
        <f>IF(L265="",IF(D265="","","À coter"),IF(OR(F265&gt;=p_gmin,L265&gt;=p_ipr_crit),"Critique",IF(L265&gt;=p_ipr_act,"Élevée",IF(L265&gt;=p_ipr_watch,"Moyenne","Faible"))))</f>
        <v/>
      </c>
      <c r="N265" s="54" t="str">
        <f>IF(OR(M265="",M265="À coter"),"",IF(OR(M265="Critique",M265="Élevée"),"Oui","Non"))</f>
        <v/>
      </c>
      <c r="O265" s="51" t="n"/>
      <c r="P265" s="51" t="n"/>
      <c r="Q265" s="55" t="n"/>
      <c r="R265" s="50" t="n"/>
      <c r="S265" s="55" t="n"/>
      <c r="T265" s="56" t="n"/>
      <c r="U265" s="52" t="n"/>
      <c r="V265" s="52" t="n"/>
      <c r="W265" s="52" t="n"/>
      <c r="X265" s="53" t="str">
        <f>IF(AND(L265&lt;&gt;"",IF(ISNUMBER(U265),AND(U265&gt;=1,U265&lt;=10,U265=INT(U265)),FALSE),IF(ISNUMBER(V265),AND(V265&gt;=1,V265&lt;=10,V265=INT(V265)),FALSE),IF(ISNUMBER(W265),AND(W265&gt;=1,W265&lt;=10,W265=INT(W265)),FALSE)),U265*V265*W265,"")</f>
        <v/>
      </c>
      <c r="Y265" s="54" t="str">
        <f>IF(X265="","",IF(OR(U265&gt;=p_gmin,X265&gt;=p_ipr_crit),"Critique",IF(X265&gt;=p_ipr_act,"Élevée",IF(X265&gt;=p_ipr_watch,"Moyenne","Faible"))))</f>
        <v/>
      </c>
      <c r="Z265" s="57" t="str">
        <f>IF(X265="","",(L265-X265)/L265)</f>
        <v/>
      </c>
      <c r="AA265" s="54" t="str">
        <f>IF(AND(D265="",O265=""),"",IF(O265="",IF(N265="Oui","Action à définir",IF(N265="Non","Sans action","")),IF(R265="Annulée","Annulée",IF(R265="Réalisée",IF(X265="","À réévaluer","Réalisée"),IF(N(Q265)=0,"Échéance manquante",IF(Q265&lt;p_today,"En retard",IF(Q265-p_today&lt;=p_alert,"Échéance proche","Dans les délais")))))))</f>
        <v/>
      </c>
      <c r="AB265" s="58" t="str">
        <f>IF(AND(A265="",B265="",D265="",F265="",H265="",K265="",O265=""),"",IF(D265="","Mode de défaillance manquant",IF(AND(A265&lt;&gt;"",COUNTIF(am_num,A265)&gt;1),"N° en double",IF(F265="","Gravité G manquante",IF(NOT(IF(ISNUMBER(F265),AND(F265&gt;=1,F265&lt;=10,F265=INT(F265)),FALSE)),"G : entier de 1 à 10",IF(H265="","Occurrence O manquante",IF(NOT(IF(ISNUMBER(H265),AND(H265&gt;=1,H265&lt;=10,H265=INT(H265)),FALSE)),"O : entier de 1 à 10",IF(K265="","Détection D manquante",IF(NOT(IF(ISNUMBER(K265),AND(K265&gt;=1,K265&lt;=10,K265=INT(K265)),FALSE)),"D : entier de 1 à 10",IF(G265="","Cause manquante",IF(AND(O265&lt;&gt;"",P265=""),"Responsable manquant",IF(AND(R265&lt;&gt;"",O265=""),"Statut sans action",IF(AND(R265="Réalisée",N(S265)=0),"Date de réalisation manquante",IF(AND(T265&lt;&gt;"",IF(ISNUMBER(T265),T265&lt;0,TRUE)),"Coût invalide",IF(AND(COUNTBLANK(U265:W265)&gt;0,COUNTBLANK(U265:W265)&lt;3),"Cotation après action incomplète",IF(AND(COUNTBLANK(U265:W265)=0,X265=""),"G', O', D' : entiers de 1 à 10",IF(AND(X265&lt;&gt;"",X265&gt;L265),"IPR après action plus élevé","OK")))))))))))))))))</f>
        <v/>
      </c>
      <c r="AC265" s="59" t="str">
        <f>IF(OR(AA265="En retard",AA265="Échéance proche",AA265="Dans les délais",AA265="Échéance manquante",AA265="Action à définir",AA265="À réévaluer"),IF(OR(plan_who="",P265=plan_who),IF(N(Q265)&gt;0,Q265,99999)*1000+ROW(),""),"")</f>
        <v/>
      </c>
      <c r="AD265" s="59" t="str">
        <f>IF(L265="","",L265*1000+1000-ROW())</f>
        <v/>
      </c>
      <c r="AE265" s="59" t="str">
        <f>IF(IF(AA265="En retard",1,IF(AA265="Action à définir",2,IF(AA265="Échéance manquante",3,IF(AA265="Échéance proche",4,IF(AA265="À réévaluer",5,0)))))=0,"",IF(AA265="En retard",1,IF(AA265="Action à définir",2,IF(AA265="Échéance manquante",3,IF(AA265="Échéance proche",4,IF(AA265="À réévaluer",5,0)))))*100000000+IF(N(Q265)&gt;0,Q265,99999)*1000+ROW())</f>
        <v/>
      </c>
      <c r="AF265" s="59" t="str">
        <f>IF(X265&lt;&gt;"",X265,L265)</f>
        <v/>
      </c>
      <c r="AG265" s="59" t="str">
        <f>IF(X265&lt;&gt;"",Y265,IF(L265&lt;&gt;"",M265,""))</f>
        <v/>
      </c>
      <c r="AH265" s="59" t="str">
        <f>IF(L265="","",IF(X265&lt;&gt;"",U265,F265))</f>
        <v/>
      </c>
      <c r="AI265" s="59" t="str">
        <f>IF(L265="","",IF(X265&lt;&gt;"",V265,H265))</f>
        <v/>
      </c>
    </row>
    <row r="266" ht="30" customHeight="1">
      <c r="A266" s="50" t="n"/>
      <c r="B266" s="51" t="n"/>
      <c r="C266" s="51" t="n"/>
      <c r="D266" s="51" t="n"/>
      <c r="E266" s="51" t="n"/>
      <c r="F266" s="52" t="n"/>
      <c r="G266" s="51" t="n"/>
      <c r="H266" s="52" t="n"/>
      <c r="I266" s="51" t="n"/>
      <c r="J266" s="51" t="n"/>
      <c r="K266" s="52" t="n"/>
      <c r="L266" s="53" t="str">
        <f>IF(AND(IF(ISNUMBER(F266),AND(F266&gt;=1,F266&lt;=10,F266=INT(F266)),FALSE),IF(ISNUMBER(H266),AND(H266&gt;=1,H266&lt;=10,H266=INT(H266)),FALSE),IF(ISNUMBER(K266),AND(K266&gt;=1,K266&lt;=10,K266=INT(K266)),FALSE)),F266*H266*K266,"")</f>
        <v/>
      </c>
      <c r="M266" s="54" t="str">
        <f>IF(L266="",IF(D266="","","À coter"),IF(OR(F266&gt;=p_gmin,L266&gt;=p_ipr_crit),"Critique",IF(L266&gt;=p_ipr_act,"Élevée",IF(L266&gt;=p_ipr_watch,"Moyenne","Faible"))))</f>
        <v/>
      </c>
      <c r="N266" s="54" t="str">
        <f>IF(OR(M266="",M266="À coter"),"",IF(OR(M266="Critique",M266="Élevée"),"Oui","Non"))</f>
        <v/>
      </c>
      <c r="O266" s="51" t="n"/>
      <c r="P266" s="51" t="n"/>
      <c r="Q266" s="55" t="n"/>
      <c r="R266" s="50" t="n"/>
      <c r="S266" s="55" t="n"/>
      <c r="T266" s="56" t="n"/>
      <c r="U266" s="52" t="n"/>
      <c r="V266" s="52" t="n"/>
      <c r="W266" s="52" t="n"/>
      <c r="X266" s="53" t="str">
        <f>IF(AND(L266&lt;&gt;"",IF(ISNUMBER(U266),AND(U266&gt;=1,U266&lt;=10,U266=INT(U266)),FALSE),IF(ISNUMBER(V266),AND(V266&gt;=1,V266&lt;=10,V266=INT(V266)),FALSE),IF(ISNUMBER(W266),AND(W266&gt;=1,W266&lt;=10,W266=INT(W266)),FALSE)),U266*V266*W266,"")</f>
        <v/>
      </c>
      <c r="Y266" s="54" t="str">
        <f>IF(X266="","",IF(OR(U266&gt;=p_gmin,X266&gt;=p_ipr_crit),"Critique",IF(X266&gt;=p_ipr_act,"Élevée",IF(X266&gt;=p_ipr_watch,"Moyenne","Faible"))))</f>
        <v/>
      </c>
      <c r="Z266" s="57" t="str">
        <f>IF(X266="","",(L266-X266)/L266)</f>
        <v/>
      </c>
      <c r="AA266" s="54" t="str">
        <f>IF(AND(D266="",O266=""),"",IF(O266="",IF(N266="Oui","Action à définir",IF(N266="Non","Sans action","")),IF(R266="Annulée","Annulée",IF(R266="Réalisée",IF(X266="","À réévaluer","Réalisée"),IF(N(Q266)=0,"Échéance manquante",IF(Q266&lt;p_today,"En retard",IF(Q266-p_today&lt;=p_alert,"Échéance proche","Dans les délais")))))))</f>
        <v/>
      </c>
      <c r="AB266" s="58" t="str">
        <f>IF(AND(A266="",B266="",D266="",F266="",H266="",K266="",O266=""),"",IF(D266="","Mode de défaillance manquant",IF(AND(A266&lt;&gt;"",COUNTIF(am_num,A266)&gt;1),"N° en double",IF(F266="","Gravité G manquante",IF(NOT(IF(ISNUMBER(F266),AND(F266&gt;=1,F266&lt;=10,F266=INT(F266)),FALSE)),"G : entier de 1 à 10",IF(H266="","Occurrence O manquante",IF(NOT(IF(ISNUMBER(H266),AND(H266&gt;=1,H266&lt;=10,H266=INT(H266)),FALSE)),"O : entier de 1 à 10",IF(K266="","Détection D manquante",IF(NOT(IF(ISNUMBER(K266),AND(K266&gt;=1,K266&lt;=10,K266=INT(K266)),FALSE)),"D : entier de 1 à 10",IF(G266="","Cause manquante",IF(AND(O266&lt;&gt;"",P266=""),"Responsable manquant",IF(AND(R266&lt;&gt;"",O266=""),"Statut sans action",IF(AND(R266="Réalisée",N(S266)=0),"Date de réalisation manquante",IF(AND(T266&lt;&gt;"",IF(ISNUMBER(T266),T266&lt;0,TRUE)),"Coût invalide",IF(AND(COUNTBLANK(U266:W266)&gt;0,COUNTBLANK(U266:W266)&lt;3),"Cotation après action incomplète",IF(AND(COUNTBLANK(U266:W266)=0,X266=""),"G', O', D' : entiers de 1 à 10",IF(AND(X266&lt;&gt;"",X266&gt;L266),"IPR après action plus élevé","OK")))))))))))))))))</f>
        <v/>
      </c>
      <c r="AC266" s="59" t="str">
        <f>IF(OR(AA266="En retard",AA266="Échéance proche",AA266="Dans les délais",AA266="Échéance manquante",AA266="Action à définir",AA266="À réévaluer"),IF(OR(plan_who="",P266=plan_who),IF(N(Q266)&gt;0,Q266,99999)*1000+ROW(),""),"")</f>
        <v/>
      </c>
      <c r="AD266" s="59" t="str">
        <f>IF(L266="","",L266*1000+1000-ROW())</f>
        <v/>
      </c>
      <c r="AE266" s="59" t="str">
        <f>IF(IF(AA266="En retard",1,IF(AA266="Action à définir",2,IF(AA266="Échéance manquante",3,IF(AA266="Échéance proche",4,IF(AA266="À réévaluer",5,0)))))=0,"",IF(AA266="En retard",1,IF(AA266="Action à définir",2,IF(AA266="Échéance manquante",3,IF(AA266="Échéance proche",4,IF(AA266="À réévaluer",5,0)))))*100000000+IF(N(Q266)&gt;0,Q266,99999)*1000+ROW())</f>
        <v/>
      </c>
      <c r="AF266" s="59" t="str">
        <f>IF(X266&lt;&gt;"",X266,L266)</f>
        <v/>
      </c>
      <c r="AG266" s="59" t="str">
        <f>IF(X266&lt;&gt;"",Y266,IF(L266&lt;&gt;"",M266,""))</f>
        <v/>
      </c>
      <c r="AH266" s="59" t="str">
        <f>IF(L266="","",IF(X266&lt;&gt;"",U266,F266))</f>
        <v/>
      </c>
      <c r="AI266" s="59" t="str">
        <f>IF(L266="","",IF(X266&lt;&gt;"",V266,H266))</f>
        <v/>
      </c>
    </row>
    <row r="267" ht="30" customHeight="1">
      <c r="A267" s="50" t="n"/>
      <c r="B267" s="51" t="n"/>
      <c r="C267" s="51" t="n"/>
      <c r="D267" s="51" t="n"/>
      <c r="E267" s="51" t="n"/>
      <c r="F267" s="52" t="n"/>
      <c r="G267" s="51" t="n"/>
      <c r="H267" s="52" t="n"/>
      <c r="I267" s="51" t="n"/>
      <c r="J267" s="51" t="n"/>
      <c r="K267" s="52" t="n"/>
      <c r="L267" s="53" t="str">
        <f>IF(AND(IF(ISNUMBER(F267),AND(F267&gt;=1,F267&lt;=10,F267=INT(F267)),FALSE),IF(ISNUMBER(H267),AND(H267&gt;=1,H267&lt;=10,H267=INT(H267)),FALSE),IF(ISNUMBER(K267),AND(K267&gt;=1,K267&lt;=10,K267=INT(K267)),FALSE)),F267*H267*K267,"")</f>
        <v/>
      </c>
      <c r="M267" s="54" t="str">
        <f>IF(L267="",IF(D267="","","À coter"),IF(OR(F267&gt;=p_gmin,L267&gt;=p_ipr_crit),"Critique",IF(L267&gt;=p_ipr_act,"Élevée",IF(L267&gt;=p_ipr_watch,"Moyenne","Faible"))))</f>
        <v/>
      </c>
      <c r="N267" s="54" t="str">
        <f>IF(OR(M267="",M267="À coter"),"",IF(OR(M267="Critique",M267="Élevée"),"Oui","Non"))</f>
        <v/>
      </c>
      <c r="O267" s="51" t="n"/>
      <c r="P267" s="51" t="n"/>
      <c r="Q267" s="55" t="n"/>
      <c r="R267" s="50" t="n"/>
      <c r="S267" s="55" t="n"/>
      <c r="T267" s="56" t="n"/>
      <c r="U267" s="52" t="n"/>
      <c r="V267" s="52" t="n"/>
      <c r="W267" s="52" t="n"/>
      <c r="X267" s="53" t="str">
        <f>IF(AND(L267&lt;&gt;"",IF(ISNUMBER(U267),AND(U267&gt;=1,U267&lt;=10,U267=INT(U267)),FALSE),IF(ISNUMBER(V267),AND(V267&gt;=1,V267&lt;=10,V267=INT(V267)),FALSE),IF(ISNUMBER(W267),AND(W267&gt;=1,W267&lt;=10,W267=INT(W267)),FALSE)),U267*V267*W267,"")</f>
        <v/>
      </c>
      <c r="Y267" s="54" t="str">
        <f>IF(X267="","",IF(OR(U267&gt;=p_gmin,X267&gt;=p_ipr_crit),"Critique",IF(X267&gt;=p_ipr_act,"Élevée",IF(X267&gt;=p_ipr_watch,"Moyenne","Faible"))))</f>
        <v/>
      </c>
      <c r="Z267" s="57" t="str">
        <f>IF(X267="","",(L267-X267)/L267)</f>
        <v/>
      </c>
      <c r="AA267" s="54" t="str">
        <f>IF(AND(D267="",O267=""),"",IF(O267="",IF(N267="Oui","Action à définir",IF(N267="Non","Sans action","")),IF(R267="Annulée","Annulée",IF(R267="Réalisée",IF(X267="","À réévaluer","Réalisée"),IF(N(Q267)=0,"Échéance manquante",IF(Q267&lt;p_today,"En retard",IF(Q267-p_today&lt;=p_alert,"Échéance proche","Dans les délais")))))))</f>
        <v/>
      </c>
      <c r="AB267" s="58" t="str">
        <f>IF(AND(A267="",B267="",D267="",F267="",H267="",K267="",O267=""),"",IF(D267="","Mode de défaillance manquant",IF(AND(A267&lt;&gt;"",COUNTIF(am_num,A267)&gt;1),"N° en double",IF(F267="","Gravité G manquante",IF(NOT(IF(ISNUMBER(F267),AND(F267&gt;=1,F267&lt;=10,F267=INT(F267)),FALSE)),"G : entier de 1 à 10",IF(H267="","Occurrence O manquante",IF(NOT(IF(ISNUMBER(H267),AND(H267&gt;=1,H267&lt;=10,H267=INT(H267)),FALSE)),"O : entier de 1 à 10",IF(K267="","Détection D manquante",IF(NOT(IF(ISNUMBER(K267),AND(K267&gt;=1,K267&lt;=10,K267=INT(K267)),FALSE)),"D : entier de 1 à 10",IF(G267="","Cause manquante",IF(AND(O267&lt;&gt;"",P267=""),"Responsable manquant",IF(AND(R267&lt;&gt;"",O267=""),"Statut sans action",IF(AND(R267="Réalisée",N(S267)=0),"Date de réalisation manquante",IF(AND(T267&lt;&gt;"",IF(ISNUMBER(T267),T267&lt;0,TRUE)),"Coût invalide",IF(AND(COUNTBLANK(U267:W267)&gt;0,COUNTBLANK(U267:W267)&lt;3),"Cotation après action incomplète",IF(AND(COUNTBLANK(U267:W267)=0,X267=""),"G', O', D' : entiers de 1 à 10",IF(AND(X267&lt;&gt;"",X267&gt;L267),"IPR après action plus élevé","OK")))))))))))))))))</f>
        <v/>
      </c>
      <c r="AC267" s="59" t="str">
        <f>IF(OR(AA267="En retard",AA267="Échéance proche",AA267="Dans les délais",AA267="Échéance manquante",AA267="Action à définir",AA267="À réévaluer"),IF(OR(plan_who="",P267=plan_who),IF(N(Q267)&gt;0,Q267,99999)*1000+ROW(),""),"")</f>
        <v/>
      </c>
      <c r="AD267" s="59" t="str">
        <f>IF(L267="","",L267*1000+1000-ROW())</f>
        <v/>
      </c>
      <c r="AE267" s="59" t="str">
        <f>IF(IF(AA267="En retard",1,IF(AA267="Action à définir",2,IF(AA267="Échéance manquante",3,IF(AA267="Échéance proche",4,IF(AA267="À réévaluer",5,0)))))=0,"",IF(AA267="En retard",1,IF(AA267="Action à définir",2,IF(AA267="Échéance manquante",3,IF(AA267="Échéance proche",4,IF(AA267="À réévaluer",5,0)))))*100000000+IF(N(Q267)&gt;0,Q267,99999)*1000+ROW())</f>
        <v/>
      </c>
      <c r="AF267" s="59" t="str">
        <f>IF(X267&lt;&gt;"",X267,L267)</f>
        <v/>
      </c>
      <c r="AG267" s="59" t="str">
        <f>IF(X267&lt;&gt;"",Y267,IF(L267&lt;&gt;"",M267,""))</f>
        <v/>
      </c>
      <c r="AH267" s="59" t="str">
        <f>IF(L267="","",IF(X267&lt;&gt;"",U267,F267))</f>
        <v/>
      </c>
      <c r="AI267" s="59" t="str">
        <f>IF(L267="","",IF(X267&lt;&gt;"",V267,H267))</f>
        <v/>
      </c>
    </row>
    <row r="268" ht="30" customHeight="1">
      <c r="A268" s="50" t="n"/>
      <c r="B268" s="51" t="n"/>
      <c r="C268" s="51" t="n"/>
      <c r="D268" s="51" t="n"/>
      <c r="E268" s="51" t="n"/>
      <c r="F268" s="52" t="n"/>
      <c r="G268" s="51" t="n"/>
      <c r="H268" s="52" t="n"/>
      <c r="I268" s="51" t="n"/>
      <c r="J268" s="51" t="n"/>
      <c r="K268" s="52" t="n"/>
      <c r="L268" s="53" t="str">
        <f>IF(AND(IF(ISNUMBER(F268),AND(F268&gt;=1,F268&lt;=10,F268=INT(F268)),FALSE),IF(ISNUMBER(H268),AND(H268&gt;=1,H268&lt;=10,H268=INT(H268)),FALSE),IF(ISNUMBER(K268),AND(K268&gt;=1,K268&lt;=10,K268=INT(K268)),FALSE)),F268*H268*K268,"")</f>
        <v/>
      </c>
      <c r="M268" s="54" t="str">
        <f>IF(L268="",IF(D268="","","À coter"),IF(OR(F268&gt;=p_gmin,L268&gt;=p_ipr_crit),"Critique",IF(L268&gt;=p_ipr_act,"Élevée",IF(L268&gt;=p_ipr_watch,"Moyenne","Faible"))))</f>
        <v/>
      </c>
      <c r="N268" s="54" t="str">
        <f>IF(OR(M268="",M268="À coter"),"",IF(OR(M268="Critique",M268="Élevée"),"Oui","Non"))</f>
        <v/>
      </c>
      <c r="O268" s="51" t="n"/>
      <c r="P268" s="51" t="n"/>
      <c r="Q268" s="55" t="n"/>
      <c r="R268" s="50" t="n"/>
      <c r="S268" s="55" t="n"/>
      <c r="T268" s="56" t="n"/>
      <c r="U268" s="52" t="n"/>
      <c r="V268" s="52" t="n"/>
      <c r="W268" s="52" t="n"/>
      <c r="X268" s="53" t="str">
        <f>IF(AND(L268&lt;&gt;"",IF(ISNUMBER(U268),AND(U268&gt;=1,U268&lt;=10,U268=INT(U268)),FALSE),IF(ISNUMBER(V268),AND(V268&gt;=1,V268&lt;=10,V268=INT(V268)),FALSE),IF(ISNUMBER(W268),AND(W268&gt;=1,W268&lt;=10,W268=INT(W268)),FALSE)),U268*V268*W268,"")</f>
        <v/>
      </c>
      <c r="Y268" s="54" t="str">
        <f>IF(X268="","",IF(OR(U268&gt;=p_gmin,X268&gt;=p_ipr_crit),"Critique",IF(X268&gt;=p_ipr_act,"Élevée",IF(X268&gt;=p_ipr_watch,"Moyenne","Faible"))))</f>
        <v/>
      </c>
      <c r="Z268" s="57" t="str">
        <f>IF(X268="","",(L268-X268)/L268)</f>
        <v/>
      </c>
      <c r="AA268" s="54" t="str">
        <f>IF(AND(D268="",O268=""),"",IF(O268="",IF(N268="Oui","Action à définir",IF(N268="Non","Sans action","")),IF(R268="Annulée","Annulée",IF(R268="Réalisée",IF(X268="","À réévaluer","Réalisée"),IF(N(Q268)=0,"Échéance manquante",IF(Q268&lt;p_today,"En retard",IF(Q268-p_today&lt;=p_alert,"Échéance proche","Dans les délais")))))))</f>
        <v/>
      </c>
      <c r="AB268" s="58" t="str">
        <f>IF(AND(A268="",B268="",D268="",F268="",H268="",K268="",O268=""),"",IF(D268="","Mode de défaillance manquant",IF(AND(A268&lt;&gt;"",COUNTIF(am_num,A268)&gt;1),"N° en double",IF(F268="","Gravité G manquante",IF(NOT(IF(ISNUMBER(F268),AND(F268&gt;=1,F268&lt;=10,F268=INT(F268)),FALSE)),"G : entier de 1 à 10",IF(H268="","Occurrence O manquante",IF(NOT(IF(ISNUMBER(H268),AND(H268&gt;=1,H268&lt;=10,H268=INT(H268)),FALSE)),"O : entier de 1 à 10",IF(K268="","Détection D manquante",IF(NOT(IF(ISNUMBER(K268),AND(K268&gt;=1,K268&lt;=10,K268=INT(K268)),FALSE)),"D : entier de 1 à 10",IF(G268="","Cause manquante",IF(AND(O268&lt;&gt;"",P268=""),"Responsable manquant",IF(AND(R268&lt;&gt;"",O268=""),"Statut sans action",IF(AND(R268="Réalisée",N(S268)=0),"Date de réalisation manquante",IF(AND(T268&lt;&gt;"",IF(ISNUMBER(T268),T268&lt;0,TRUE)),"Coût invalide",IF(AND(COUNTBLANK(U268:W268)&gt;0,COUNTBLANK(U268:W268)&lt;3),"Cotation après action incomplète",IF(AND(COUNTBLANK(U268:W268)=0,X268=""),"G', O', D' : entiers de 1 à 10",IF(AND(X268&lt;&gt;"",X268&gt;L268),"IPR après action plus élevé","OK")))))))))))))))))</f>
        <v/>
      </c>
      <c r="AC268" s="59" t="str">
        <f>IF(OR(AA268="En retard",AA268="Échéance proche",AA268="Dans les délais",AA268="Échéance manquante",AA268="Action à définir",AA268="À réévaluer"),IF(OR(plan_who="",P268=plan_who),IF(N(Q268)&gt;0,Q268,99999)*1000+ROW(),""),"")</f>
        <v/>
      </c>
      <c r="AD268" s="59" t="str">
        <f>IF(L268="","",L268*1000+1000-ROW())</f>
        <v/>
      </c>
      <c r="AE268" s="59" t="str">
        <f>IF(IF(AA268="En retard",1,IF(AA268="Action à définir",2,IF(AA268="Échéance manquante",3,IF(AA268="Échéance proche",4,IF(AA268="À réévaluer",5,0)))))=0,"",IF(AA268="En retard",1,IF(AA268="Action à définir",2,IF(AA268="Échéance manquante",3,IF(AA268="Échéance proche",4,IF(AA268="À réévaluer",5,0)))))*100000000+IF(N(Q268)&gt;0,Q268,99999)*1000+ROW())</f>
        <v/>
      </c>
      <c r="AF268" s="59" t="str">
        <f>IF(X268&lt;&gt;"",X268,L268)</f>
        <v/>
      </c>
      <c r="AG268" s="59" t="str">
        <f>IF(X268&lt;&gt;"",Y268,IF(L268&lt;&gt;"",M268,""))</f>
        <v/>
      </c>
      <c r="AH268" s="59" t="str">
        <f>IF(L268="","",IF(X268&lt;&gt;"",U268,F268))</f>
        <v/>
      </c>
      <c r="AI268" s="59" t="str">
        <f>IF(L268="","",IF(X268&lt;&gt;"",V268,H268))</f>
        <v/>
      </c>
    </row>
    <row r="269" ht="30" customHeight="1">
      <c r="A269" s="50" t="n"/>
      <c r="B269" s="51" t="n"/>
      <c r="C269" s="51" t="n"/>
      <c r="D269" s="51" t="n"/>
      <c r="E269" s="51" t="n"/>
      <c r="F269" s="52" t="n"/>
      <c r="G269" s="51" t="n"/>
      <c r="H269" s="52" t="n"/>
      <c r="I269" s="51" t="n"/>
      <c r="J269" s="51" t="n"/>
      <c r="K269" s="52" t="n"/>
      <c r="L269" s="53" t="str">
        <f>IF(AND(IF(ISNUMBER(F269),AND(F269&gt;=1,F269&lt;=10,F269=INT(F269)),FALSE),IF(ISNUMBER(H269),AND(H269&gt;=1,H269&lt;=10,H269=INT(H269)),FALSE),IF(ISNUMBER(K269),AND(K269&gt;=1,K269&lt;=10,K269=INT(K269)),FALSE)),F269*H269*K269,"")</f>
        <v/>
      </c>
      <c r="M269" s="54" t="str">
        <f>IF(L269="",IF(D269="","","À coter"),IF(OR(F269&gt;=p_gmin,L269&gt;=p_ipr_crit),"Critique",IF(L269&gt;=p_ipr_act,"Élevée",IF(L269&gt;=p_ipr_watch,"Moyenne","Faible"))))</f>
        <v/>
      </c>
      <c r="N269" s="54" t="str">
        <f>IF(OR(M269="",M269="À coter"),"",IF(OR(M269="Critique",M269="Élevée"),"Oui","Non"))</f>
        <v/>
      </c>
      <c r="O269" s="51" t="n"/>
      <c r="P269" s="51" t="n"/>
      <c r="Q269" s="55" t="n"/>
      <c r="R269" s="50" t="n"/>
      <c r="S269" s="55" t="n"/>
      <c r="T269" s="56" t="n"/>
      <c r="U269" s="52" t="n"/>
      <c r="V269" s="52" t="n"/>
      <c r="W269" s="52" t="n"/>
      <c r="X269" s="53" t="str">
        <f>IF(AND(L269&lt;&gt;"",IF(ISNUMBER(U269),AND(U269&gt;=1,U269&lt;=10,U269=INT(U269)),FALSE),IF(ISNUMBER(V269),AND(V269&gt;=1,V269&lt;=10,V269=INT(V269)),FALSE),IF(ISNUMBER(W269),AND(W269&gt;=1,W269&lt;=10,W269=INT(W269)),FALSE)),U269*V269*W269,"")</f>
        <v/>
      </c>
      <c r="Y269" s="54" t="str">
        <f>IF(X269="","",IF(OR(U269&gt;=p_gmin,X269&gt;=p_ipr_crit),"Critique",IF(X269&gt;=p_ipr_act,"Élevée",IF(X269&gt;=p_ipr_watch,"Moyenne","Faible"))))</f>
        <v/>
      </c>
      <c r="Z269" s="57" t="str">
        <f>IF(X269="","",(L269-X269)/L269)</f>
        <v/>
      </c>
      <c r="AA269" s="54" t="str">
        <f>IF(AND(D269="",O269=""),"",IF(O269="",IF(N269="Oui","Action à définir",IF(N269="Non","Sans action","")),IF(R269="Annulée","Annulée",IF(R269="Réalisée",IF(X269="","À réévaluer","Réalisée"),IF(N(Q269)=0,"Échéance manquante",IF(Q269&lt;p_today,"En retard",IF(Q269-p_today&lt;=p_alert,"Échéance proche","Dans les délais")))))))</f>
        <v/>
      </c>
      <c r="AB269" s="58" t="str">
        <f>IF(AND(A269="",B269="",D269="",F269="",H269="",K269="",O269=""),"",IF(D269="","Mode de défaillance manquant",IF(AND(A269&lt;&gt;"",COUNTIF(am_num,A269)&gt;1),"N° en double",IF(F269="","Gravité G manquante",IF(NOT(IF(ISNUMBER(F269),AND(F269&gt;=1,F269&lt;=10,F269=INT(F269)),FALSE)),"G : entier de 1 à 10",IF(H269="","Occurrence O manquante",IF(NOT(IF(ISNUMBER(H269),AND(H269&gt;=1,H269&lt;=10,H269=INT(H269)),FALSE)),"O : entier de 1 à 10",IF(K269="","Détection D manquante",IF(NOT(IF(ISNUMBER(K269),AND(K269&gt;=1,K269&lt;=10,K269=INT(K269)),FALSE)),"D : entier de 1 à 10",IF(G269="","Cause manquante",IF(AND(O269&lt;&gt;"",P269=""),"Responsable manquant",IF(AND(R269&lt;&gt;"",O269=""),"Statut sans action",IF(AND(R269="Réalisée",N(S269)=0),"Date de réalisation manquante",IF(AND(T269&lt;&gt;"",IF(ISNUMBER(T269),T269&lt;0,TRUE)),"Coût invalide",IF(AND(COUNTBLANK(U269:W269)&gt;0,COUNTBLANK(U269:W269)&lt;3),"Cotation après action incomplète",IF(AND(COUNTBLANK(U269:W269)=0,X269=""),"G', O', D' : entiers de 1 à 10",IF(AND(X269&lt;&gt;"",X269&gt;L269),"IPR après action plus élevé","OK")))))))))))))))))</f>
        <v/>
      </c>
      <c r="AC269" s="59" t="str">
        <f>IF(OR(AA269="En retard",AA269="Échéance proche",AA269="Dans les délais",AA269="Échéance manquante",AA269="Action à définir",AA269="À réévaluer"),IF(OR(plan_who="",P269=plan_who),IF(N(Q269)&gt;0,Q269,99999)*1000+ROW(),""),"")</f>
        <v/>
      </c>
      <c r="AD269" s="59" t="str">
        <f>IF(L269="","",L269*1000+1000-ROW())</f>
        <v/>
      </c>
      <c r="AE269" s="59" t="str">
        <f>IF(IF(AA269="En retard",1,IF(AA269="Action à définir",2,IF(AA269="Échéance manquante",3,IF(AA269="Échéance proche",4,IF(AA269="À réévaluer",5,0)))))=0,"",IF(AA269="En retard",1,IF(AA269="Action à définir",2,IF(AA269="Échéance manquante",3,IF(AA269="Échéance proche",4,IF(AA269="À réévaluer",5,0)))))*100000000+IF(N(Q269)&gt;0,Q269,99999)*1000+ROW())</f>
        <v/>
      </c>
      <c r="AF269" s="59" t="str">
        <f>IF(X269&lt;&gt;"",X269,L269)</f>
        <v/>
      </c>
      <c r="AG269" s="59" t="str">
        <f>IF(X269&lt;&gt;"",Y269,IF(L269&lt;&gt;"",M269,""))</f>
        <v/>
      </c>
      <c r="AH269" s="59" t="str">
        <f>IF(L269="","",IF(X269&lt;&gt;"",U269,F269))</f>
        <v/>
      </c>
      <c r="AI269" s="59" t="str">
        <f>IF(L269="","",IF(X269&lt;&gt;"",V269,H269))</f>
        <v/>
      </c>
    </row>
    <row r="270" ht="30" customHeight="1">
      <c r="A270" s="50" t="n"/>
      <c r="B270" s="51" t="n"/>
      <c r="C270" s="51" t="n"/>
      <c r="D270" s="51" t="n"/>
      <c r="E270" s="51" t="n"/>
      <c r="F270" s="52" t="n"/>
      <c r="G270" s="51" t="n"/>
      <c r="H270" s="52" t="n"/>
      <c r="I270" s="51" t="n"/>
      <c r="J270" s="51" t="n"/>
      <c r="K270" s="52" t="n"/>
      <c r="L270" s="53" t="str">
        <f>IF(AND(IF(ISNUMBER(F270),AND(F270&gt;=1,F270&lt;=10,F270=INT(F270)),FALSE),IF(ISNUMBER(H270),AND(H270&gt;=1,H270&lt;=10,H270=INT(H270)),FALSE),IF(ISNUMBER(K270),AND(K270&gt;=1,K270&lt;=10,K270=INT(K270)),FALSE)),F270*H270*K270,"")</f>
        <v/>
      </c>
      <c r="M270" s="54" t="str">
        <f>IF(L270="",IF(D270="","","À coter"),IF(OR(F270&gt;=p_gmin,L270&gt;=p_ipr_crit),"Critique",IF(L270&gt;=p_ipr_act,"Élevée",IF(L270&gt;=p_ipr_watch,"Moyenne","Faible"))))</f>
        <v/>
      </c>
      <c r="N270" s="54" t="str">
        <f>IF(OR(M270="",M270="À coter"),"",IF(OR(M270="Critique",M270="Élevée"),"Oui","Non"))</f>
        <v/>
      </c>
      <c r="O270" s="51" t="n"/>
      <c r="P270" s="51" t="n"/>
      <c r="Q270" s="55" t="n"/>
      <c r="R270" s="50" t="n"/>
      <c r="S270" s="55" t="n"/>
      <c r="T270" s="56" t="n"/>
      <c r="U270" s="52" t="n"/>
      <c r="V270" s="52" t="n"/>
      <c r="W270" s="52" t="n"/>
      <c r="X270" s="53" t="str">
        <f>IF(AND(L270&lt;&gt;"",IF(ISNUMBER(U270),AND(U270&gt;=1,U270&lt;=10,U270=INT(U270)),FALSE),IF(ISNUMBER(V270),AND(V270&gt;=1,V270&lt;=10,V270=INT(V270)),FALSE),IF(ISNUMBER(W270),AND(W270&gt;=1,W270&lt;=10,W270=INT(W270)),FALSE)),U270*V270*W270,"")</f>
        <v/>
      </c>
      <c r="Y270" s="54" t="str">
        <f>IF(X270="","",IF(OR(U270&gt;=p_gmin,X270&gt;=p_ipr_crit),"Critique",IF(X270&gt;=p_ipr_act,"Élevée",IF(X270&gt;=p_ipr_watch,"Moyenne","Faible"))))</f>
        <v/>
      </c>
      <c r="Z270" s="57" t="str">
        <f>IF(X270="","",(L270-X270)/L270)</f>
        <v/>
      </c>
      <c r="AA270" s="54" t="str">
        <f>IF(AND(D270="",O270=""),"",IF(O270="",IF(N270="Oui","Action à définir",IF(N270="Non","Sans action","")),IF(R270="Annulée","Annulée",IF(R270="Réalisée",IF(X270="","À réévaluer","Réalisée"),IF(N(Q270)=0,"Échéance manquante",IF(Q270&lt;p_today,"En retard",IF(Q270-p_today&lt;=p_alert,"Échéance proche","Dans les délais")))))))</f>
        <v/>
      </c>
      <c r="AB270" s="58" t="str">
        <f>IF(AND(A270="",B270="",D270="",F270="",H270="",K270="",O270=""),"",IF(D270="","Mode de défaillance manquant",IF(AND(A270&lt;&gt;"",COUNTIF(am_num,A270)&gt;1),"N° en double",IF(F270="","Gravité G manquante",IF(NOT(IF(ISNUMBER(F270),AND(F270&gt;=1,F270&lt;=10,F270=INT(F270)),FALSE)),"G : entier de 1 à 10",IF(H270="","Occurrence O manquante",IF(NOT(IF(ISNUMBER(H270),AND(H270&gt;=1,H270&lt;=10,H270=INT(H270)),FALSE)),"O : entier de 1 à 10",IF(K270="","Détection D manquante",IF(NOT(IF(ISNUMBER(K270),AND(K270&gt;=1,K270&lt;=10,K270=INT(K270)),FALSE)),"D : entier de 1 à 10",IF(G270="","Cause manquante",IF(AND(O270&lt;&gt;"",P270=""),"Responsable manquant",IF(AND(R270&lt;&gt;"",O270=""),"Statut sans action",IF(AND(R270="Réalisée",N(S270)=0),"Date de réalisation manquante",IF(AND(T270&lt;&gt;"",IF(ISNUMBER(T270),T270&lt;0,TRUE)),"Coût invalide",IF(AND(COUNTBLANK(U270:W270)&gt;0,COUNTBLANK(U270:W270)&lt;3),"Cotation après action incomplète",IF(AND(COUNTBLANK(U270:W270)=0,X270=""),"G', O', D' : entiers de 1 à 10",IF(AND(X270&lt;&gt;"",X270&gt;L270),"IPR après action plus élevé","OK")))))))))))))))))</f>
        <v/>
      </c>
      <c r="AC270" s="59" t="str">
        <f>IF(OR(AA270="En retard",AA270="Échéance proche",AA270="Dans les délais",AA270="Échéance manquante",AA270="Action à définir",AA270="À réévaluer"),IF(OR(plan_who="",P270=plan_who),IF(N(Q270)&gt;0,Q270,99999)*1000+ROW(),""),"")</f>
        <v/>
      </c>
      <c r="AD270" s="59" t="str">
        <f>IF(L270="","",L270*1000+1000-ROW())</f>
        <v/>
      </c>
      <c r="AE270" s="59" t="str">
        <f>IF(IF(AA270="En retard",1,IF(AA270="Action à définir",2,IF(AA270="Échéance manquante",3,IF(AA270="Échéance proche",4,IF(AA270="À réévaluer",5,0)))))=0,"",IF(AA270="En retard",1,IF(AA270="Action à définir",2,IF(AA270="Échéance manquante",3,IF(AA270="Échéance proche",4,IF(AA270="À réévaluer",5,0)))))*100000000+IF(N(Q270)&gt;0,Q270,99999)*1000+ROW())</f>
        <v/>
      </c>
      <c r="AF270" s="59" t="str">
        <f>IF(X270&lt;&gt;"",X270,L270)</f>
        <v/>
      </c>
      <c r="AG270" s="59" t="str">
        <f>IF(X270&lt;&gt;"",Y270,IF(L270&lt;&gt;"",M270,""))</f>
        <v/>
      </c>
      <c r="AH270" s="59" t="str">
        <f>IF(L270="","",IF(X270&lt;&gt;"",U270,F270))</f>
        <v/>
      </c>
      <c r="AI270" s="59" t="str">
        <f>IF(L270="","",IF(X270&lt;&gt;"",V270,H270))</f>
        <v/>
      </c>
    </row>
    <row r="271" ht="30" customHeight="1">
      <c r="A271" s="50" t="n"/>
      <c r="B271" s="51" t="n"/>
      <c r="C271" s="51" t="n"/>
      <c r="D271" s="51" t="n"/>
      <c r="E271" s="51" t="n"/>
      <c r="F271" s="52" t="n"/>
      <c r="G271" s="51" t="n"/>
      <c r="H271" s="52" t="n"/>
      <c r="I271" s="51" t="n"/>
      <c r="J271" s="51" t="n"/>
      <c r="K271" s="52" t="n"/>
      <c r="L271" s="53" t="str">
        <f>IF(AND(IF(ISNUMBER(F271),AND(F271&gt;=1,F271&lt;=10,F271=INT(F271)),FALSE),IF(ISNUMBER(H271),AND(H271&gt;=1,H271&lt;=10,H271=INT(H271)),FALSE),IF(ISNUMBER(K271),AND(K271&gt;=1,K271&lt;=10,K271=INT(K271)),FALSE)),F271*H271*K271,"")</f>
        <v/>
      </c>
      <c r="M271" s="54" t="str">
        <f>IF(L271="",IF(D271="","","À coter"),IF(OR(F271&gt;=p_gmin,L271&gt;=p_ipr_crit),"Critique",IF(L271&gt;=p_ipr_act,"Élevée",IF(L271&gt;=p_ipr_watch,"Moyenne","Faible"))))</f>
        <v/>
      </c>
      <c r="N271" s="54" t="str">
        <f>IF(OR(M271="",M271="À coter"),"",IF(OR(M271="Critique",M271="Élevée"),"Oui","Non"))</f>
        <v/>
      </c>
      <c r="O271" s="51" t="n"/>
      <c r="P271" s="51" t="n"/>
      <c r="Q271" s="55" t="n"/>
      <c r="R271" s="50" t="n"/>
      <c r="S271" s="55" t="n"/>
      <c r="T271" s="56" t="n"/>
      <c r="U271" s="52" t="n"/>
      <c r="V271" s="52" t="n"/>
      <c r="W271" s="52" t="n"/>
      <c r="X271" s="53" t="str">
        <f>IF(AND(L271&lt;&gt;"",IF(ISNUMBER(U271),AND(U271&gt;=1,U271&lt;=10,U271=INT(U271)),FALSE),IF(ISNUMBER(V271),AND(V271&gt;=1,V271&lt;=10,V271=INT(V271)),FALSE),IF(ISNUMBER(W271),AND(W271&gt;=1,W271&lt;=10,W271=INT(W271)),FALSE)),U271*V271*W271,"")</f>
        <v/>
      </c>
      <c r="Y271" s="54" t="str">
        <f>IF(X271="","",IF(OR(U271&gt;=p_gmin,X271&gt;=p_ipr_crit),"Critique",IF(X271&gt;=p_ipr_act,"Élevée",IF(X271&gt;=p_ipr_watch,"Moyenne","Faible"))))</f>
        <v/>
      </c>
      <c r="Z271" s="57" t="str">
        <f>IF(X271="","",(L271-X271)/L271)</f>
        <v/>
      </c>
      <c r="AA271" s="54" t="str">
        <f>IF(AND(D271="",O271=""),"",IF(O271="",IF(N271="Oui","Action à définir",IF(N271="Non","Sans action","")),IF(R271="Annulée","Annulée",IF(R271="Réalisée",IF(X271="","À réévaluer","Réalisée"),IF(N(Q271)=0,"Échéance manquante",IF(Q271&lt;p_today,"En retard",IF(Q271-p_today&lt;=p_alert,"Échéance proche","Dans les délais")))))))</f>
        <v/>
      </c>
      <c r="AB271" s="58" t="str">
        <f>IF(AND(A271="",B271="",D271="",F271="",H271="",K271="",O271=""),"",IF(D271="","Mode de défaillance manquant",IF(AND(A271&lt;&gt;"",COUNTIF(am_num,A271)&gt;1),"N° en double",IF(F271="","Gravité G manquante",IF(NOT(IF(ISNUMBER(F271),AND(F271&gt;=1,F271&lt;=10,F271=INT(F271)),FALSE)),"G : entier de 1 à 10",IF(H271="","Occurrence O manquante",IF(NOT(IF(ISNUMBER(H271),AND(H271&gt;=1,H271&lt;=10,H271=INT(H271)),FALSE)),"O : entier de 1 à 10",IF(K271="","Détection D manquante",IF(NOT(IF(ISNUMBER(K271),AND(K271&gt;=1,K271&lt;=10,K271=INT(K271)),FALSE)),"D : entier de 1 à 10",IF(G271="","Cause manquante",IF(AND(O271&lt;&gt;"",P271=""),"Responsable manquant",IF(AND(R271&lt;&gt;"",O271=""),"Statut sans action",IF(AND(R271="Réalisée",N(S271)=0),"Date de réalisation manquante",IF(AND(T271&lt;&gt;"",IF(ISNUMBER(T271),T271&lt;0,TRUE)),"Coût invalide",IF(AND(COUNTBLANK(U271:W271)&gt;0,COUNTBLANK(U271:W271)&lt;3),"Cotation après action incomplète",IF(AND(COUNTBLANK(U271:W271)=0,X271=""),"G', O', D' : entiers de 1 à 10",IF(AND(X271&lt;&gt;"",X271&gt;L271),"IPR après action plus élevé","OK")))))))))))))))))</f>
        <v/>
      </c>
      <c r="AC271" s="59" t="str">
        <f>IF(OR(AA271="En retard",AA271="Échéance proche",AA271="Dans les délais",AA271="Échéance manquante",AA271="Action à définir",AA271="À réévaluer"),IF(OR(plan_who="",P271=plan_who),IF(N(Q271)&gt;0,Q271,99999)*1000+ROW(),""),"")</f>
        <v/>
      </c>
      <c r="AD271" s="59" t="str">
        <f>IF(L271="","",L271*1000+1000-ROW())</f>
        <v/>
      </c>
      <c r="AE271" s="59" t="str">
        <f>IF(IF(AA271="En retard",1,IF(AA271="Action à définir",2,IF(AA271="Échéance manquante",3,IF(AA271="Échéance proche",4,IF(AA271="À réévaluer",5,0)))))=0,"",IF(AA271="En retard",1,IF(AA271="Action à définir",2,IF(AA271="Échéance manquante",3,IF(AA271="Échéance proche",4,IF(AA271="À réévaluer",5,0)))))*100000000+IF(N(Q271)&gt;0,Q271,99999)*1000+ROW())</f>
        <v/>
      </c>
      <c r="AF271" s="59" t="str">
        <f>IF(X271&lt;&gt;"",X271,L271)</f>
        <v/>
      </c>
      <c r="AG271" s="59" t="str">
        <f>IF(X271&lt;&gt;"",Y271,IF(L271&lt;&gt;"",M271,""))</f>
        <v/>
      </c>
      <c r="AH271" s="59" t="str">
        <f>IF(L271="","",IF(X271&lt;&gt;"",U271,F271))</f>
        <v/>
      </c>
      <c r="AI271" s="59" t="str">
        <f>IF(L271="","",IF(X271&lt;&gt;"",V271,H271))</f>
        <v/>
      </c>
    </row>
    <row r="272" ht="30" customHeight="1">
      <c r="A272" s="50" t="n"/>
      <c r="B272" s="51" t="n"/>
      <c r="C272" s="51" t="n"/>
      <c r="D272" s="51" t="n"/>
      <c r="E272" s="51" t="n"/>
      <c r="F272" s="52" t="n"/>
      <c r="G272" s="51" t="n"/>
      <c r="H272" s="52" t="n"/>
      <c r="I272" s="51" t="n"/>
      <c r="J272" s="51" t="n"/>
      <c r="K272" s="52" t="n"/>
      <c r="L272" s="53" t="str">
        <f>IF(AND(IF(ISNUMBER(F272),AND(F272&gt;=1,F272&lt;=10,F272=INT(F272)),FALSE),IF(ISNUMBER(H272),AND(H272&gt;=1,H272&lt;=10,H272=INT(H272)),FALSE),IF(ISNUMBER(K272),AND(K272&gt;=1,K272&lt;=10,K272=INT(K272)),FALSE)),F272*H272*K272,"")</f>
        <v/>
      </c>
      <c r="M272" s="54" t="str">
        <f>IF(L272="",IF(D272="","","À coter"),IF(OR(F272&gt;=p_gmin,L272&gt;=p_ipr_crit),"Critique",IF(L272&gt;=p_ipr_act,"Élevée",IF(L272&gt;=p_ipr_watch,"Moyenne","Faible"))))</f>
        <v/>
      </c>
      <c r="N272" s="54" t="str">
        <f>IF(OR(M272="",M272="À coter"),"",IF(OR(M272="Critique",M272="Élevée"),"Oui","Non"))</f>
        <v/>
      </c>
      <c r="O272" s="51" t="n"/>
      <c r="P272" s="51" t="n"/>
      <c r="Q272" s="55" t="n"/>
      <c r="R272" s="50" t="n"/>
      <c r="S272" s="55" t="n"/>
      <c r="T272" s="56" t="n"/>
      <c r="U272" s="52" t="n"/>
      <c r="V272" s="52" t="n"/>
      <c r="W272" s="52" t="n"/>
      <c r="X272" s="53" t="str">
        <f>IF(AND(L272&lt;&gt;"",IF(ISNUMBER(U272),AND(U272&gt;=1,U272&lt;=10,U272=INT(U272)),FALSE),IF(ISNUMBER(V272),AND(V272&gt;=1,V272&lt;=10,V272=INT(V272)),FALSE),IF(ISNUMBER(W272),AND(W272&gt;=1,W272&lt;=10,W272=INT(W272)),FALSE)),U272*V272*W272,"")</f>
        <v/>
      </c>
      <c r="Y272" s="54" t="str">
        <f>IF(X272="","",IF(OR(U272&gt;=p_gmin,X272&gt;=p_ipr_crit),"Critique",IF(X272&gt;=p_ipr_act,"Élevée",IF(X272&gt;=p_ipr_watch,"Moyenne","Faible"))))</f>
        <v/>
      </c>
      <c r="Z272" s="57" t="str">
        <f>IF(X272="","",(L272-X272)/L272)</f>
        <v/>
      </c>
      <c r="AA272" s="54" t="str">
        <f>IF(AND(D272="",O272=""),"",IF(O272="",IF(N272="Oui","Action à définir",IF(N272="Non","Sans action","")),IF(R272="Annulée","Annulée",IF(R272="Réalisée",IF(X272="","À réévaluer","Réalisée"),IF(N(Q272)=0,"Échéance manquante",IF(Q272&lt;p_today,"En retard",IF(Q272-p_today&lt;=p_alert,"Échéance proche","Dans les délais")))))))</f>
        <v/>
      </c>
      <c r="AB272" s="58" t="str">
        <f>IF(AND(A272="",B272="",D272="",F272="",H272="",K272="",O272=""),"",IF(D272="","Mode de défaillance manquant",IF(AND(A272&lt;&gt;"",COUNTIF(am_num,A272)&gt;1),"N° en double",IF(F272="","Gravité G manquante",IF(NOT(IF(ISNUMBER(F272),AND(F272&gt;=1,F272&lt;=10,F272=INT(F272)),FALSE)),"G : entier de 1 à 10",IF(H272="","Occurrence O manquante",IF(NOT(IF(ISNUMBER(H272),AND(H272&gt;=1,H272&lt;=10,H272=INT(H272)),FALSE)),"O : entier de 1 à 10",IF(K272="","Détection D manquante",IF(NOT(IF(ISNUMBER(K272),AND(K272&gt;=1,K272&lt;=10,K272=INT(K272)),FALSE)),"D : entier de 1 à 10",IF(G272="","Cause manquante",IF(AND(O272&lt;&gt;"",P272=""),"Responsable manquant",IF(AND(R272&lt;&gt;"",O272=""),"Statut sans action",IF(AND(R272="Réalisée",N(S272)=0),"Date de réalisation manquante",IF(AND(T272&lt;&gt;"",IF(ISNUMBER(T272),T272&lt;0,TRUE)),"Coût invalide",IF(AND(COUNTBLANK(U272:W272)&gt;0,COUNTBLANK(U272:W272)&lt;3),"Cotation après action incomplète",IF(AND(COUNTBLANK(U272:W272)=0,X272=""),"G', O', D' : entiers de 1 à 10",IF(AND(X272&lt;&gt;"",X272&gt;L272),"IPR après action plus élevé","OK")))))))))))))))))</f>
        <v/>
      </c>
      <c r="AC272" s="59" t="str">
        <f>IF(OR(AA272="En retard",AA272="Échéance proche",AA272="Dans les délais",AA272="Échéance manquante",AA272="Action à définir",AA272="À réévaluer"),IF(OR(plan_who="",P272=plan_who),IF(N(Q272)&gt;0,Q272,99999)*1000+ROW(),""),"")</f>
        <v/>
      </c>
      <c r="AD272" s="59" t="str">
        <f>IF(L272="","",L272*1000+1000-ROW())</f>
        <v/>
      </c>
      <c r="AE272" s="59" t="str">
        <f>IF(IF(AA272="En retard",1,IF(AA272="Action à définir",2,IF(AA272="Échéance manquante",3,IF(AA272="Échéance proche",4,IF(AA272="À réévaluer",5,0)))))=0,"",IF(AA272="En retard",1,IF(AA272="Action à définir",2,IF(AA272="Échéance manquante",3,IF(AA272="Échéance proche",4,IF(AA272="À réévaluer",5,0)))))*100000000+IF(N(Q272)&gt;0,Q272,99999)*1000+ROW())</f>
        <v/>
      </c>
      <c r="AF272" s="59" t="str">
        <f>IF(X272&lt;&gt;"",X272,L272)</f>
        <v/>
      </c>
      <c r="AG272" s="59" t="str">
        <f>IF(X272&lt;&gt;"",Y272,IF(L272&lt;&gt;"",M272,""))</f>
        <v/>
      </c>
      <c r="AH272" s="59" t="str">
        <f>IF(L272="","",IF(X272&lt;&gt;"",U272,F272))</f>
        <v/>
      </c>
      <c r="AI272" s="59" t="str">
        <f>IF(L272="","",IF(X272&lt;&gt;"",V272,H272))</f>
        <v/>
      </c>
    </row>
    <row r="273" ht="30" customHeight="1">
      <c r="A273" s="50" t="n"/>
      <c r="B273" s="51" t="n"/>
      <c r="C273" s="51" t="n"/>
      <c r="D273" s="51" t="n"/>
      <c r="E273" s="51" t="n"/>
      <c r="F273" s="52" t="n"/>
      <c r="G273" s="51" t="n"/>
      <c r="H273" s="52" t="n"/>
      <c r="I273" s="51" t="n"/>
      <c r="J273" s="51" t="n"/>
      <c r="K273" s="52" t="n"/>
      <c r="L273" s="53" t="str">
        <f>IF(AND(IF(ISNUMBER(F273),AND(F273&gt;=1,F273&lt;=10,F273=INT(F273)),FALSE),IF(ISNUMBER(H273),AND(H273&gt;=1,H273&lt;=10,H273=INT(H273)),FALSE),IF(ISNUMBER(K273),AND(K273&gt;=1,K273&lt;=10,K273=INT(K273)),FALSE)),F273*H273*K273,"")</f>
        <v/>
      </c>
      <c r="M273" s="54" t="str">
        <f>IF(L273="",IF(D273="","","À coter"),IF(OR(F273&gt;=p_gmin,L273&gt;=p_ipr_crit),"Critique",IF(L273&gt;=p_ipr_act,"Élevée",IF(L273&gt;=p_ipr_watch,"Moyenne","Faible"))))</f>
        <v/>
      </c>
      <c r="N273" s="54" t="str">
        <f>IF(OR(M273="",M273="À coter"),"",IF(OR(M273="Critique",M273="Élevée"),"Oui","Non"))</f>
        <v/>
      </c>
      <c r="O273" s="51" t="n"/>
      <c r="P273" s="51" t="n"/>
      <c r="Q273" s="55" t="n"/>
      <c r="R273" s="50" t="n"/>
      <c r="S273" s="55" t="n"/>
      <c r="T273" s="56" t="n"/>
      <c r="U273" s="52" t="n"/>
      <c r="V273" s="52" t="n"/>
      <c r="W273" s="52" t="n"/>
      <c r="X273" s="53" t="str">
        <f>IF(AND(L273&lt;&gt;"",IF(ISNUMBER(U273),AND(U273&gt;=1,U273&lt;=10,U273=INT(U273)),FALSE),IF(ISNUMBER(V273),AND(V273&gt;=1,V273&lt;=10,V273=INT(V273)),FALSE),IF(ISNUMBER(W273),AND(W273&gt;=1,W273&lt;=10,W273=INT(W273)),FALSE)),U273*V273*W273,"")</f>
        <v/>
      </c>
      <c r="Y273" s="54" t="str">
        <f>IF(X273="","",IF(OR(U273&gt;=p_gmin,X273&gt;=p_ipr_crit),"Critique",IF(X273&gt;=p_ipr_act,"Élevée",IF(X273&gt;=p_ipr_watch,"Moyenne","Faible"))))</f>
        <v/>
      </c>
      <c r="Z273" s="57" t="str">
        <f>IF(X273="","",(L273-X273)/L273)</f>
        <v/>
      </c>
      <c r="AA273" s="54" t="str">
        <f>IF(AND(D273="",O273=""),"",IF(O273="",IF(N273="Oui","Action à définir",IF(N273="Non","Sans action","")),IF(R273="Annulée","Annulée",IF(R273="Réalisée",IF(X273="","À réévaluer","Réalisée"),IF(N(Q273)=0,"Échéance manquante",IF(Q273&lt;p_today,"En retard",IF(Q273-p_today&lt;=p_alert,"Échéance proche","Dans les délais")))))))</f>
        <v/>
      </c>
      <c r="AB273" s="58" t="str">
        <f>IF(AND(A273="",B273="",D273="",F273="",H273="",K273="",O273=""),"",IF(D273="","Mode de défaillance manquant",IF(AND(A273&lt;&gt;"",COUNTIF(am_num,A273)&gt;1),"N° en double",IF(F273="","Gravité G manquante",IF(NOT(IF(ISNUMBER(F273),AND(F273&gt;=1,F273&lt;=10,F273=INT(F273)),FALSE)),"G : entier de 1 à 10",IF(H273="","Occurrence O manquante",IF(NOT(IF(ISNUMBER(H273),AND(H273&gt;=1,H273&lt;=10,H273=INT(H273)),FALSE)),"O : entier de 1 à 10",IF(K273="","Détection D manquante",IF(NOT(IF(ISNUMBER(K273),AND(K273&gt;=1,K273&lt;=10,K273=INT(K273)),FALSE)),"D : entier de 1 à 10",IF(G273="","Cause manquante",IF(AND(O273&lt;&gt;"",P273=""),"Responsable manquant",IF(AND(R273&lt;&gt;"",O273=""),"Statut sans action",IF(AND(R273="Réalisée",N(S273)=0),"Date de réalisation manquante",IF(AND(T273&lt;&gt;"",IF(ISNUMBER(T273),T273&lt;0,TRUE)),"Coût invalide",IF(AND(COUNTBLANK(U273:W273)&gt;0,COUNTBLANK(U273:W273)&lt;3),"Cotation après action incomplète",IF(AND(COUNTBLANK(U273:W273)=0,X273=""),"G', O', D' : entiers de 1 à 10",IF(AND(X273&lt;&gt;"",X273&gt;L273),"IPR après action plus élevé","OK")))))))))))))))))</f>
        <v/>
      </c>
      <c r="AC273" s="59" t="str">
        <f>IF(OR(AA273="En retard",AA273="Échéance proche",AA273="Dans les délais",AA273="Échéance manquante",AA273="Action à définir",AA273="À réévaluer"),IF(OR(plan_who="",P273=plan_who),IF(N(Q273)&gt;0,Q273,99999)*1000+ROW(),""),"")</f>
        <v/>
      </c>
      <c r="AD273" s="59" t="str">
        <f>IF(L273="","",L273*1000+1000-ROW())</f>
        <v/>
      </c>
      <c r="AE273" s="59" t="str">
        <f>IF(IF(AA273="En retard",1,IF(AA273="Action à définir",2,IF(AA273="Échéance manquante",3,IF(AA273="Échéance proche",4,IF(AA273="À réévaluer",5,0)))))=0,"",IF(AA273="En retard",1,IF(AA273="Action à définir",2,IF(AA273="Échéance manquante",3,IF(AA273="Échéance proche",4,IF(AA273="À réévaluer",5,0)))))*100000000+IF(N(Q273)&gt;0,Q273,99999)*1000+ROW())</f>
        <v/>
      </c>
      <c r="AF273" s="59" t="str">
        <f>IF(X273&lt;&gt;"",X273,L273)</f>
        <v/>
      </c>
      <c r="AG273" s="59" t="str">
        <f>IF(X273&lt;&gt;"",Y273,IF(L273&lt;&gt;"",M273,""))</f>
        <v/>
      </c>
      <c r="AH273" s="59" t="str">
        <f>IF(L273="","",IF(X273&lt;&gt;"",U273,F273))</f>
        <v/>
      </c>
      <c r="AI273" s="59" t="str">
        <f>IF(L273="","",IF(X273&lt;&gt;"",V273,H273))</f>
        <v/>
      </c>
    </row>
    <row r="274" ht="30" customHeight="1">
      <c r="A274" s="50" t="n"/>
      <c r="B274" s="51" t="n"/>
      <c r="C274" s="51" t="n"/>
      <c r="D274" s="51" t="n"/>
      <c r="E274" s="51" t="n"/>
      <c r="F274" s="52" t="n"/>
      <c r="G274" s="51" t="n"/>
      <c r="H274" s="52" t="n"/>
      <c r="I274" s="51" t="n"/>
      <c r="J274" s="51" t="n"/>
      <c r="K274" s="52" t="n"/>
      <c r="L274" s="53" t="str">
        <f>IF(AND(IF(ISNUMBER(F274),AND(F274&gt;=1,F274&lt;=10,F274=INT(F274)),FALSE),IF(ISNUMBER(H274),AND(H274&gt;=1,H274&lt;=10,H274=INT(H274)),FALSE),IF(ISNUMBER(K274),AND(K274&gt;=1,K274&lt;=10,K274=INT(K274)),FALSE)),F274*H274*K274,"")</f>
        <v/>
      </c>
      <c r="M274" s="54" t="str">
        <f>IF(L274="",IF(D274="","","À coter"),IF(OR(F274&gt;=p_gmin,L274&gt;=p_ipr_crit),"Critique",IF(L274&gt;=p_ipr_act,"Élevée",IF(L274&gt;=p_ipr_watch,"Moyenne","Faible"))))</f>
        <v/>
      </c>
      <c r="N274" s="54" t="str">
        <f>IF(OR(M274="",M274="À coter"),"",IF(OR(M274="Critique",M274="Élevée"),"Oui","Non"))</f>
        <v/>
      </c>
      <c r="O274" s="51" t="n"/>
      <c r="P274" s="51" t="n"/>
      <c r="Q274" s="55" t="n"/>
      <c r="R274" s="50" t="n"/>
      <c r="S274" s="55" t="n"/>
      <c r="T274" s="56" t="n"/>
      <c r="U274" s="52" t="n"/>
      <c r="V274" s="52" t="n"/>
      <c r="W274" s="52" t="n"/>
      <c r="X274" s="53" t="str">
        <f>IF(AND(L274&lt;&gt;"",IF(ISNUMBER(U274),AND(U274&gt;=1,U274&lt;=10,U274=INT(U274)),FALSE),IF(ISNUMBER(V274),AND(V274&gt;=1,V274&lt;=10,V274=INT(V274)),FALSE),IF(ISNUMBER(W274),AND(W274&gt;=1,W274&lt;=10,W274=INT(W274)),FALSE)),U274*V274*W274,"")</f>
        <v/>
      </c>
      <c r="Y274" s="54" t="str">
        <f>IF(X274="","",IF(OR(U274&gt;=p_gmin,X274&gt;=p_ipr_crit),"Critique",IF(X274&gt;=p_ipr_act,"Élevée",IF(X274&gt;=p_ipr_watch,"Moyenne","Faible"))))</f>
        <v/>
      </c>
      <c r="Z274" s="57" t="str">
        <f>IF(X274="","",(L274-X274)/L274)</f>
        <v/>
      </c>
      <c r="AA274" s="54" t="str">
        <f>IF(AND(D274="",O274=""),"",IF(O274="",IF(N274="Oui","Action à définir",IF(N274="Non","Sans action","")),IF(R274="Annulée","Annulée",IF(R274="Réalisée",IF(X274="","À réévaluer","Réalisée"),IF(N(Q274)=0,"Échéance manquante",IF(Q274&lt;p_today,"En retard",IF(Q274-p_today&lt;=p_alert,"Échéance proche","Dans les délais")))))))</f>
        <v/>
      </c>
      <c r="AB274" s="58" t="str">
        <f>IF(AND(A274="",B274="",D274="",F274="",H274="",K274="",O274=""),"",IF(D274="","Mode de défaillance manquant",IF(AND(A274&lt;&gt;"",COUNTIF(am_num,A274)&gt;1),"N° en double",IF(F274="","Gravité G manquante",IF(NOT(IF(ISNUMBER(F274),AND(F274&gt;=1,F274&lt;=10,F274=INT(F274)),FALSE)),"G : entier de 1 à 10",IF(H274="","Occurrence O manquante",IF(NOT(IF(ISNUMBER(H274),AND(H274&gt;=1,H274&lt;=10,H274=INT(H274)),FALSE)),"O : entier de 1 à 10",IF(K274="","Détection D manquante",IF(NOT(IF(ISNUMBER(K274),AND(K274&gt;=1,K274&lt;=10,K274=INT(K274)),FALSE)),"D : entier de 1 à 10",IF(G274="","Cause manquante",IF(AND(O274&lt;&gt;"",P274=""),"Responsable manquant",IF(AND(R274&lt;&gt;"",O274=""),"Statut sans action",IF(AND(R274="Réalisée",N(S274)=0),"Date de réalisation manquante",IF(AND(T274&lt;&gt;"",IF(ISNUMBER(T274),T274&lt;0,TRUE)),"Coût invalide",IF(AND(COUNTBLANK(U274:W274)&gt;0,COUNTBLANK(U274:W274)&lt;3),"Cotation après action incomplète",IF(AND(COUNTBLANK(U274:W274)=0,X274=""),"G', O', D' : entiers de 1 à 10",IF(AND(X274&lt;&gt;"",X274&gt;L274),"IPR après action plus élevé","OK")))))))))))))))))</f>
        <v/>
      </c>
      <c r="AC274" s="59" t="str">
        <f>IF(OR(AA274="En retard",AA274="Échéance proche",AA274="Dans les délais",AA274="Échéance manquante",AA274="Action à définir",AA274="À réévaluer"),IF(OR(plan_who="",P274=plan_who),IF(N(Q274)&gt;0,Q274,99999)*1000+ROW(),""),"")</f>
        <v/>
      </c>
      <c r="AD274" s="59" t="str">
        <f>IF(L274="","",L274*1000+1000-ROW())</f>
        <v/>
      </c>
      <c r="AE274" s="59" t="str">
        <f>IF(IF(AA274="En retard",1,IF(AA274="Action à définir",2,IF(AA274="Échéance manquante",3,IF(AA274="Échéance proche",4,IF(AA274="À réévaluer",5,0)))))=0,"",IF(AA274="En retard",1,IF(AA274="Action à définir",2,IF(AA274="Échéance manquante",3,IF(AA274="Échéance proche",4,IF(AA274="À réévaluer",5,0)))))*100000000+IF(N(Q274)&gt;0,Q274,99999)*1000+ROW())</f>
        <v/>
      </c>
      <c r="AF274" s="59" t="str">
        <f>IF(X274&lt;&gt;"",X274,L274)</f>
        <v/>
      </c>
      <c r="AG274" s="59" t="str">
        <f>IF(X274&lt;&gt;"",Y274,IF(L274&lt;&gt;"",M274,""))</f>
        <v/>
      </c>
      <c r="AH274" s="59" t="str">
        <f>IF(L274="","",IF(X274&lt;&gt;"",U274,F274))</f>
        <v/>
      </c>
      <c r="AI274" s="59" t="str">
        <f>IF(L274="","",IF(X274&lt;&gt;"",V274,H274))</f>
        <v/>
      </c>
    </row>
    <row r="275" ht="30" customHeight="1">
      <c r="A275" s="50" t="n"/>
      <c r="B275" s="51" t="n"/>
      <c r="C275" s="51" t="n"/>
      <c r="D275" s="51" t="n"/>
      <c r="E275" s="51" t="n"/>
      <c r="F275" s="52" t="n"/>
      <c r="G275" s="51" t="n"/>
      <c r="H275" s="52" t="n"/>
      <c r="I275" s="51" t="n"/>
      <c r="J275" s="51" t="n"/>
      <c r="K275" s="52" t="n"/>
      <c r="L275" s="53" t="str">
        <f>IF(AND(IF(ISNUMBER(F275),AND(F275&gt;=1,F275&lt;=10,F275=INT(F275)),FALSE),IF(ISNUMBER(H275),AND(H275&gt;=1,H275&lt;=10,H275=INT(H275)),FALSE),IF(ISNUMBER(K275),AND(K275&gt;=1,K275&lt;=10,K275=INT(K275)),FALSE)),F275*H275*K275,"")</f>
        <v/>
      </c>
      <c r="M275" s="54" t="str">
        <f>IF(L275="",IF(D275="","","À coter"),IF(OR(F275&gt;=p_gmin,L275&gt;=p_ipr_crit),"Critique",IF(L275&gt;=p_ipr_act,"Élevée",IF(L275&gt;=p_ipr_watch,"Moyenne","Faible"))))</f>
        <v/>
      </c>
      <c r="N275" s="54" t="str">
        <f>IF(OR(M275="",M275="À coter"),"",IF(OR(M275="Critique",M275="Élevée"),"Oui","Non"))</f>
        <v/>
      </c>
      <c r="O275" s="51" t="n"/>
      <c r="P275" s="51" t="n"/>
      <c r="Q275" s="55" t="n"/>
      <c r="R275" s="50" t="n"/>
      <c r="S275" s="55" t="n"/>
      <c r="T275" s="56" t="n"/>
      <c r="U275" s="52" t="n"/>
      <c r="V275" s="52" t="n"/>
      <c r="W275" s="52" t="n"/>
      <c r="X275" s="53" t="str">
        <f>IF(AND(L275&lt;&gt;"",IF(ISNUMBER(U275),AND(U275&gt;=1,U275&lt;=10,U275=INT(U275)),FALSE),IF(ISNUMBER(V275),AND(V275&gt;=1,V275&lt;=10,V275=INT(V275)),FALSE),IF(ISNUMBER(W275),AND(W275&gt;=1,W275&lt;=10,W275=INT(W275)),FALSE)),U275*V275*W275,"")</f>
        <v/>
      </c>
      <c r="Y275" s="54" t="str">
        <f>IF(X275="","",IF(OR(U275&gt;=p_gmin,X275&gt;=p_ipr_crit),"Critique",IF(X275&gt;=p_ipr_act,"Élevée",IF(X275&gt;=p_ipr_watch,"Moyenne","Faible"))))</f>
        <v/>
      </c>
      <c r="Z275" s="57" t="str">
        <f>IF(X275="","",(L275-X275)/L275)</f>
        <v/>
      </c>
      <c r="AA275" s="54" t="str">
        <f>IF(AND(D275="",O275=""),"",IF(O275="",IF(N275="Oui","Action à définir",IF(N275="Non","Sans action","")),IF(R275="Annulée","Annulée",IF(R275="Réalisée",IF(X275="","À réévaluer","Réalisée"),IF(N(Q275)=0,"Échéance manquante",IF(Q275&lt;p_today,"En retard",IF(Q275-p_today&lt;=p_alert,"Échéance proche","Dans les délais")))))))</f>
        <v/>
      </c>
      <c r="AB275" s="58" t="str">
        <f>IF(AND(A275="",B275="",D275="",F275="",H275="",K275="",O275=""),"",IF(D275="","Mode de défaillance manquant",IF(AND(A275&lt;&gt;"",COUNTIF(am_num,A275)&gt;1),"N° en double",IF(F275="","Gravité G manquante",IF(NOT(IF(ISNUMBER(F275),AND(F275&gt;=1,F275&lt;=10,F275=INT(F275)),FALSE)),"G : entier de 1 à 10",IF(H275="","Occurrence O manquante",IF(NOT(IF(ISNUMBER(H275),AND(H275&gt;=1,H275&lt;=10,H275=INT(H275)),FALSE)),"O : entier de 1 à 10",IF(K275="","Détection D manquante",IF(NOT(IF(ISNUMBER(K275),AND(K275&gt;=1,K275&lt;=10,K275=INT(K275)),FALSE)),"D : entier de 1 à 10",IF(G275="","Cause manquante",IF(AND(O275&lt;&gt;"",P275=""),"Responsable manquant",IF(AND(R275&lt;&gt;"",O275=""),"Statut sans action",IF(AND(R275="Réalisée",N(S275)=0),"Date de réalisation manquante",IF(AND(T275&lt;&gt;"",IF(ISNUMBER(T275),T275&lt;0,TRUE)),"Coût invalide",IF(AND(COUNTBLANK(U275:W275)&gt;0,COUNTBLANK(U275:W275)&lt;3),"Cotation après action incomplète",IF(AND(COUNTBLANK(U275:W275)=0,X275=""),"G', O', D' : entiers de 1 à 10",IF(AND(X275&lt;&gt;"",X275&gt;L275),"IPR après action plus élevé","OK")))))))))))))))))</f>
        <v/>
      </c>
      <c r="AC275" s="59" t="str">
        <f>IF(OR(AA275="En retard",AA275="Échéance proche",AA275="Dans les délais",AA275="Échéance manquante",AA275="Action à définir",AA275="À réévaluer"),IF(OR(plan_who="",P275=plan_who),IF(N(Q275)&gt;0,Q275,99999)*1000+ROW(),""),"")</f>
        <v/>
      </c>
      <c r="AD275" s="59" t="str">
        <f>IF(L275="","",L275*1000+1000-ROW())</f>
        <v/>
      </c>
      <c r="AE275" s="59" t="str">
        <f>IF(IF(AA275="En retard",1,IF(AA275="Action à définir",2,IF(AA275="Échéance manquante",3,IF(AA275="Échéance proche",4,IF(AA275="À réévaluer",5,0)))))=0,"",IF(AA275="En retard",1,IF(AA275="Action à définir",2,IF(AA275="Échéance manquante",3,IF(AA275="Échéance proche",4,IF(AA275="À réévaluer",5,0)))))*100000000+IF(N(Q275)&gt;0,Q275,99999)*1000+ROW())</f>
        <v/>
      </c>
      <c r="AF275" s="59" t="str">
        <f>IF(X275&lt;&gt;"",X275,L275)</f>
        <v/>
      </c>
      <c r="AG275" s="59" t="str">
        <f>IF(X275&lt;&gt;"",Y275,IF(L275&lt;&gt;"",M275,""))</f>
        <v/>
      </c>
      <c r="AH275" s="59" t="str">
        <f>IF(L275="","",IF(X275&lt;&gt;"",U275,F275))</f>
        <v/>
      </c>
      <c r="AI275" s="59" t="str">
        <f>IF(L275="","",IF(X275&lt;&gt;"",V275,H275))</f>
        <v/>
      </c>
    </row>
    <row r="276" ht="30" customHeight="1">
      <c r="A276" s="50" t="n"/>
      <c r="B276" s="51" t="n"/>
      <c r="C276" s="51" t="n"/>
      <c r="D276" s="51" t="n"/>
      <c r="E276" s="51" t="n"/>
      <c r="F276" s="52" t="n"/>
      <c r="G276" s="51" t="n"/>
      <c r="H276" s="52" t="n"/>
      <c r="I276" s="51" t="n"/>
      <c r="J276" s="51" t="n"/>
      <c r="K276" s="52" t="n"/>
      <c r="L276" s="53" t="str">
        <f>IF(AND(IF(ISNUMBER(F276),AND(F276&gt;=1,F276&lt;=10,F276=INT(F276)),FALSE),IF(ISNUMBER(H276),AND(H276&gt;=1,H276&lt;=10,H276=INT(H276)),FALSE),IF(ISNUMBER(K276),AND(K276&gt;=1,K276&lt;=10,K276=INT(K276)),FALSE)),F276*H276*K276,"")</f>
        <v/>
      </c>
      <c r="M276" s="54" t="str">
        <f>IF(L276="",IF(D276="","","À coter"),IF(OR(F276&gt;=p_gmin,L276&gt;=p_ipr_crit),"Critique",IF(L276&gt;=p_ipr_act,"Élevée",IF(L276&gt;=p_ipr_watch,"Moyenne","Faible"))))</f>
        <v/>
      </c>
      <c r="N276" s="54" t="str">
        <f>IF(OR(M276="",M276="À coter"),"",IF(OR(M276="Critique",M276="Élevée"),"Oui","Non"))</f>
        <v/>
      </c>
      <c r="O276" s="51" t="n"/>
      <c r="P276" s="51" t="n"/>
      <c r="Q276" s="55" t="n"/>
      <c r="R276" s="50" t="n"/>
      <c r="S276" s="55" t="n"/>
      <c r="T276" s="56" t="n"/>
      <c r="U276" s="52" t="n"/>
      <c r="V276" s="52" t="n"/>
      <c r="W276" s="52" t="n"/>
      <c r="X276" s="53" t="str">
        <f>IF(AND(L276&lt;&gt;"",IF(ISNUMBER(U276),AND(U276&gt;=1,U276&lt;=10,U276=INT(U276)),FALSE),IF(ISNUMBER(V276),AND(V276&gt;=1,V276&lt;=10,V276=INT(V276)),FALSE),IF(ISNUMBER(W276),AND(W276&gt;=1,W276&lt;=10,W276=INT(W276)),FALSE)),U276*V276*W276,"")</f>
        <v/>
      </c>
      <c r="Y276" s="54" t="str">
        <f>IF(X276="","",IF(OR(U276&gt;=p_gmin,X276&gt;=p_ipr_crit),"Critique",IF(X276&gt;=p_ipr_act,"Élevée",IF(X276&gt;=p_ipr_watch,"Moyenne","Faible"))))</f>
        <v/>
      </c>
      <c r="Z276" s="57" t="str">
        <f>IF(X276="","",(L276-X276)/L276)</f>
        <v/>
      </c>
      <c r="AA276" s="54" t="str">
        <f>IF(AND(D276="",O276=""),"",IF(O276="",IF(N276="Oui","Action à définir",IF(N276="Non","Sans action","")),IF(R276="Annulée","Annulée",IF(R276="Réalisée",IF(X276="","À réévaluer","Réalisée"),IF(N(Q276)=0,"Échéance manquante",IF(Q276&lt;p_today,"En retard",IF(Q276-p_today&lt;=p_alert,"Échéance proche","Dans les délais")))))))</f>
        <v/>
      </c>
      <c r="AB276" s="58" t="str">
        <f>IF(AND(A276="",B276="",D276="",F276="",H276="",K276="",O276=""),"",IF(D276="","Mode de défaillance manquant",IF(AND(A276&lt;&gt;"",COUNTIF(am_num,A276)&gt;1),"N° en double",IF(F276="","Gravité G manquante",IF(NOT(IF(ISNUMBER(F276),AND(F276&gt;=1,F276&lt;=10,F276=INT(F276)),FALSE)),"G : entier de 1 à 10",IF(H276="","Occurrence O manquante",IF(NOT(IF(ISNUMBER(H276),AND(H276&gt;=1,H276&lt;=10,H276=INT(H276)),FALSE)),"O : entier de 1 à 10",IF(K276="","Détection D manquante",IF(NOT(IF(ISNUMBER(K276),AND(K276&gt;=1,K276&lt;=10,K276=INT(K276)),FALSE)),"D : entier de 1 à 10",IF(G276="","Cause manquante",IF(AND(O276&lt;&gt;"",P276=""),"Responsable manquant",IF(AND(R276&lt;&gt;"",O276=""),"Statut sans action",IF(AND(R276="Réalisée",N(S276)=0),"Date de réalisation manquante",IF(AND(T276&lt;&gt;"",IF(ISNUMBER(T276),T276&lt;0,TRUE)),"Coût invalide",IF(AND(COUNTBLANK(U276:W276)&gt;0,COUNTBLANK(U276:W276)&lt;3),"Cotation après action incomplète",IF(AND(COUNTBLANK(U276:W276)=0,X276=""),"G', O', D' : entiers de 1 à 10",IF(AND(X276&lt;&gt;"",X276&gt;L276),"IPR après action plus élevé","OK")))))))))))))))))</f>
        <v/>
      </c>
      <c r="AC276" s="59" t="str">
        <f>IF(OR(AA276="En retard",AA276="Échéance proche",AA276="Dans les délais",AA276="Échéance manquante",AA276="Action à définir",AA276="À réévaluer"),IF(OR(plan_who="",P276=plan_who),IF(N(Q276)&gt;0,Q276,99999)*1000+ROW(),""),"")</f>
        <v/>
      </c>
      <c r="AD276" s="59" t="str">
        <f>IF(L276="","",L276*1000+1000-ROW())</f>
        <v/>
      </c>
      <c r="AE276" s="59" t="str">
        <f>IF(IF(AA276="En retard",1,IF(AA276="Action à définir",2,IF(AA276="Échéance manquante",3,IF(AA276="Échéance proche",4,IF(AA276="À réévaluer",5,0)))))=0,"",IF(AA276="En retard",1,IF(AA276="Action à définir",2,IF(AA276="Échéance manquante",3,IF(AA276="Échéance proche",4,IF(AA276="À réévaluer",5,0)))))*100000000+IF(N(Q276)&gt;0,Q276,99999)*1000+ROW())</f>
        <v/>
      </c>
      <c r="AF276" s="59" t="str">
        <f>IF(X276&lt;&gt;"",X276,L276)</f>
        <v/>
      </c>
      <c r="AG276" s="59" t="str">
        <f>IF(X276&lt;&gt;"",Y276,IF(L276&lt;&gt;"",M276,""))</f>
        <v/>
      </c>
      <c r="AH276" s="59" t="str">
        <f>IF(L276="","",IF(X276&lt;&gt;"",U276,F276))</f>
        <v/>
      </c>
      <c r="AI276" s="59" t="str">
        <f>IF(L276="","",IF(X276&lt;&gt;"",V276,H276))</f>
        <v/>
      </c>
    </row>
    <row r="277" ht="30" customHeight="1">
      <c r="A277" s="50" t="n"/>
      <c r="B277" s="51" t="n"/>
      <c r="C277" s="51" t="n"/>
      <c r="D277" s="51" t="n"/>
      <c r="E277" s="51" t="n"/>
      <c r="F277" s="52" t="n"/>
      <c r="G277" s="51" t="n"/>
      <c r="H277" s="52" t="n"/>
      <c r="I277" s="51" t="n"/>
      <c r="J277" s="51" t="n"/>
      <c r="K277" s="52" t="n"/>
      <c r="L277" s="53" t="str">
        <f>IF(AND(IF(ISNUMBER(F277),AND(F277&gt;=1,F277&lt;=10,F277=INT(F277)),FALSE),IF(ISNUMBER(H277),AND(H277&gt;=1,H277&lt;=10,H277=INT(H277)),FALSE),IF(ISNUMBER(K277),AND(K277&gt;=1,K277&lt;=10,K277=INT(K277)),FALSE)),F277*H277*K277,"")</f>
        <v/>
      </c>
      <c r="M277" s="54" t="str">
        <f>IF(L277="",IF(D277="","","À coter"),IF(OR(F277&gt;=p_gmin,L277&gt;=p_ipr_crit),"Critique",IF(L277&gt;=p_ipr_act,"Élevée",IF(L277&gt;=p_ipr_watch,"Moyenne","Faible"))))</f>
        <v/>
      </c>
      <c r="N277" s="54" t="str">
        <f>IF(OR(M277="",M277="À coter"),"",IF(OR(M277="Critique",M277="Élevée"),"Oui","Non"))</f>
        <v/>
      </c>
      <c r="O277" s="51" t="n"/>
      <c r="P277" s="51" t="n"/>
      <c r="Q277" s="55" t="n"/>
      <c r="R277" s="50" t="n"/>
      <c r="S277" s="55" t="n"/>
      <c r="T277" s="56" t="n"/>
      <c r="U277" s="52" t="n"/>
      <c r="V277" s="52" t="n"/>
      <c r="W277" s="52" t="n"/>
      <c r="X277" s="53" t="str">
        <f>IF(AND(L277&lt;&gt;"",IF(ISNUMBER(U277),AND(U277&gt;=1,U277&lt;=10,U277=INT(U277)),FALSE),IF(ISNUMBER(V277),AND(V277&gt;=1,V277&lt;=10,V277=INT(V277)),FALSE),IF(ISNUMBER(W277),AND(W277&gt;=1,W277&lt;=10,W277=INT(W277)),FALSE)),U277*V277*W277,"")</f>
        <v/>
      </c>
      <c r="Y277" s="54" t="str">
        <f>IF(X277="","",IF(OR(U277&gt;=p_gmin,X277&gt;=p_ipr_crit),"Critique",IF(X277&gt;=p_ipr_act,"Élevée",IF(X277&gt;=p_ipr_watch,"Moyenne","Faible"))))</f>
        <v/>
      </c>
      <c r="Z277" s="57" t="str">
        <f>IF(X277="","",(L277-X277)/L277)</f>
        <v/>
      </c>
      <c r="AA277" s="54" t="str">
        <f>IF(AND(D277="",O277=""),"",IF(O277="",IF(N277="Oui","Action à définir",IF(N277="Non","Sans action","")),IF(R277="Annulée","Annulée",IF(R277="Réalisée",IF(X277="","À réévaluer","Réalisée"),IF(N(Q277)=0,"Échéance manquante",IF(Q277&lt;p_today,"En retard",IF(Q277-p_today&lt;=p_alert,"Échéance proche","Dans les délais")))))))</f>
        <v/>
      </c>
      <c r="AB277" s="58" t="str">
        <f>IF(AND(A277="",B277="",D277="",F277="",H277="",K277="",O277=""),"",IF(D277="","Mode de défaillance manquant",IF(AND(A277&lt;&gt;"",COUNTIF(am_num,A277)&gt;1),"N° en double",IF(F277="","Gravité G manquante",IF(NOT(IF(ISNUMBER(F277),AND(F277&gt;=1,F277&lt;=10,F277=INT(F277)),FALSE)),"G : entier de 1 à 10",IF(H277="","Occurrence O manquante",IF(NOT(IF(ISNUMBER(H277),AND(H277&gt;=1,H277&lt;=10,H277=INT(H277)),FALSE)),"O : entier de 1 à 10",IF(K277="","Détection D manquante",IF(NOT(IF(ISNUMBER(K277),AND(K277&gt;=1,K277&lt;=10,K277=INT(K277)),FALSE)),"D : entier de 1 à 10",IF(G277="","Cause manquante",IF(AND(O277&lt;&gt;"",P277=""),"Responsable manquant",IF(AND(R277&lt;&gt;"",O277=""),"Statut sans action",IF(AND(R277="Réalisée",N(S277)=0),"Date de réalisation manquante",IF(AND(T277&lt;&gt;"",IF(ISNUMBER(T277),T277&lt;0,TRUE)),"Coût invalide",IF(AND(COUNTBLANK(U277:W277)&gt;0,COUNTBLANK(U277:W277)&lt;3),"Cotation après action incomplète",IF(AND(COUNTBLANK(U277:W277)=0,X277=""),"G', O', D' : entiers de 1 à 10",IF(AND(X277&lt;&gt;"",X277&gt;L277),"IPR après action plus élevé","OK")))))))))))))))))</f>
        <v/>
      </c>
      <c r="AC277" s="59" t="str">
        <f>IF(OR(AA277="En retard",AA277="Échéance proche",AA277="Dans les délais",AA277="Échéance manquante",AA277="Action à définir",AA277="À réévaluer"),IF(OR(plan_who="",P277=plan_who),IF(N(Q277)&gt;0,Q277,99999)*1000+ROW(),""),"")</f>
        <v/>
      </c>
      <c r="AD277" s="59" t="str">
        <f>IF(L277="","",L277*1000+1000-ROW())</f>
        <v/>
      </c>
      <c r="AE277" s="59" t="str">
        <f>IF(IF(AA277="En retard",1,IF(AA277="Action à définir",2,IF(AA277="Échéance manquante",3,IF(AA277="Échéance proche",4,IF(AA277="À réévaluer",5,0)))))=0,"",IF(AA277="En retard",1,IF(AA277="Action à définir",2,IF(AA277="Échéance manquante",3,IF(AA277="Échéance proche",4,IF(AA277="À réévaluer",5,0)))))*100000000+IF(N(Q277)&gt;0,Q277,99999)*1000+ROW())</f>
        <v/>
      </c>
      <c r="AF277" s="59" t="str">
        <f>IF(X277&lt;&gt;"",X277,L277)</f>
        <v/>
      </c>
      <c r="AG277" s="59" t="str">
        <f>IF(X277&lt;&gt;"",Y277,IF(L277&lt;&gt;"",M277,""))</f>
        <v/>
      </c>
      <c r="AH277" s="59" t="str">
        <f>IF(L277="","",IF(X277&lt;&gt;"",U277,F277))</f>
        <v/>
      </c>
      <c r="AI277" s="59" t="str">
        <f>IF(L277="","",IF(X277&lt;&gt;"",V277,H277))</f>
        <v/>
      </c>
    </row>
    <row r="278" ht="30" customHeight="1">
      <c r="A278" s="50" t="n"/>
      <c r="B278" s="51" t="n"/>
      <c r="C278" s="51" t="n"/>
      <c r="D278" s="51" t="n"/>
      <c r="E278" s="51" t="n"/>
      <c r="F278" s="52" t="n"/>
      <c r="G278" s="51" t="n"/>
      <c r="H278" s="52" t="n"/>
      <c r="I278" s="51" t="n"/>
      <c r="J278" s="51" t="n"/>
      <c r="K278" s="52" t="n"/>
      <c r="L278" s="53" t="str">
        <f>IF(AND(IF(ISNUMBER(F278),AND(F278&gt;=1,F278&lt;=10,F278=INT(F278)),FALSE),IF(ISNUMBER(H278),AND(H278&gt;=1,H278&lt;=10,H278=INT(H278)),FALSE),IF(ISNUMBER(K278),AND(K278&gt;=1,K278&lt;=10,K278=INT(K278)),FALSE)),F278*H278*K278,"")</f>
        <v/>
      </c>
      <c r="M278" s="54" t="str">
        <f>IF(L278="",IF(D278="","","À coter"),IF(OR(F278&gt;=p_gmin,L278&gt;=p_ipr_crit),"Critique",IF(L278&gt;=p_ipr_act,"Élevée",IF(L278&gt;=p_ipr_watch,"Moyenne","Faible"))))</f>
        <v/>
      </c>
      <c r="N278" s="54" t="str">
        <f>IF(OR(M278="",M278="À coter"),"",IF(OR(M278="Critique",M278="Élevée"),"Oui","Non"))</f>
        <v/>
      </c>
      <c r="O278" s="51" t="n"/>
      <c r="P278" s="51" t="n"/>
      <c r="Q278" s="55" t="n"/>
      <c r="R278" s="50" t="n"/>
      <c r="S278" s="55" t="n"/>
      <c r="T278" s="56" t="n"/>
      <c r="U278" s="52" t="n"/>
      <c r="V278" s="52" t="n"/>
      <c r="W278" s="52" t="n"/>
      <c r="X278" s="53" t="str">
        <f>IF(AND(L278&lt;&gt;"",IF(ISNUMBER(U278),AND(U278&gt;=1,U278&lt;=10,U278=INT(U278)),FALSE),IF(ISNUMBER(V278),AND(V278&gt;=1,V278&lt;=10,V278=INT(V278)),FALSE),IF(ISNUMBER(W278),AND(W278&gt;=1,W278&lt;=10,W278=INT(W278)),FALSE)),U278*V278*W278,"")</f>
        <v/>
      </c>
      <c r="Y278" s="54" t="str">
        <f>IF(X278="","",IF(OR(U278&gt;=p_gmin,X278&gt;=p_ipr_crit),"Critique",IF(X278&gt;=p_ipr_act,"Élevée",IF(X278&gt;=p_ipr_watch,"Moyenne","Faible"))))</f>
        <v/>
      </c>
      <c r="Z278" s="57" t="str">
        <f>IF(X278="","",(L278-X278)/L278)</f>
        <v/>
      </c>
      <c r="AA278" s="54" t="str">
        <f>IF(AND(D278="",O278=""),"",IF(O278="",IF(N278="Oui","Action à définir",IF(N278="Non","Sans action","")),IF(R278="Annulée","Annulée",IF(R278="Réalisée",IF(X278="","À réévaluer","Réalisée"),IF(N(Q278)=0,"Échéance manquante",IF(Q278&lt;p_today,"En retard",IF(Q278-p_today&lt;=p_alert,"Échéance proche","Dans les délais")))))))</f>
        <v/>
      </c>
      <c r="AB278" s="58" t="str">
        <f>IF(AND(A278="",B278="",D278="",F278="",H278="",K278="",O278=""),"",IF(D278="","Mode de défaillance manquant",IF(AND(A278&lt;&gt;"",COUNTIF(am_num,A278)&gt;1),"N° en double",IF(F278="","Gravité G manquante",IF(NOT(IF(ISNUMBER(F278),AND(F278&gt;=1,F278&lt;=10,F278=INT(F278)),FALSE)),"G : entier de 1 à 10",IF(H278="","Occurrence O manquante",IF(NOT(IF(ISNUMBER(H278),AND(H278&gt;=1,H278&lt;=10,H278=INT(H278)),FALSE)),"O : entier de 1 à 10",IF(K278="","Détection D manquante",IF(NOT(IF(ISNUMBER(K278),AND(K278&gt;=1,K278&lt;=10,K278=INT(K278)),FALSE)),"D : entier de 1 à 10",IF(G278="","Cause manquante",IF(AND(O278&lt;&gt;"",P278=""),"Responsable manquant",IF(AND(R278&lt;&gt;"",O278=""),"Statut sans action",IF(AND(R278="Réalisée",N(S278)=0),"Date de réalisation manquante",IF(AND(T278&lt;&gt;"",IF(ISNUMBER(T278),T278&lt;0,TRUE)),"Coût invalide",IF(AND(COUNTBLANK(U278:W278)&gt;0,COUNTBLANK(U278:W278)&lt;3),"Cotation après action incomplète",IF(AND(COUNTBLANK(U278:W278)=0,X278=""),"G', O', D' : entiers de 1 à 10",IF(AND(X278&lt;&gt;"",X278&gt;L278),"IPR après action plus élevé","OK")))))))))))))))))</f>
        <v/>
      </c>
      <c r="AC278" s="59" t="str">
        <f>IF(OR(AA278="En retard",AA278="Échéance proche",AA278="Dans les délais",AA278="Échéance manquante",AA278="Action à définir",AA278="À réévaluer"),IF(OR(plan_who="",P278=plan_who),IF(N(Q278)&gt;0,Q278,99999)*1000+ROW(),""),"")</f>
        <v/>
      </c>
      <c r="AD278" s="59" t="str">
        <f>IF(L278="","",L278*1000+1000-ROW())</f>
        <v/>
      </c>
      <c r="AE278" s="59" t="str">
        <f>IF(IF(AA278="En retard",1,IF(AA278="Action à définir",2,IF(AA278="Échéance manquante",3,IF(AA278="Échéance proche",4,IF(AA278="À réévaluer",5,0)))))=0,"",IF(AA278="En retard",1,IF(AA278="Action à définir",2,IF(AA278="Échéance manquante",3,IF(AA278="Échéance proche",4,IF(AA278="À réévaluer",5,0)))))*100000000+IF(N(Q278)&gt;0,Q278,99999)*1000+ROW())</f>
        <v/>
      </c>
      <c r="AF278" s="59" t="str">
        <f>IF(X278&lt;&gt;"",X278,L278)</f>
        <v/>
      </c>
      <c r="AG278" s="59" t="str">
        <f>IF(X278&lt;&gt;"",Y278,IF(L278&lt;&gt;"",M278,""))</f>
        <v/>
      </c>
      <c r="AH278" s="59" t="str">
        <f>IF(L278="","",IF(X278&lt;&gt;"",U278,F278))</f>
        <v/>
      </c>
      <c r="AI278" s="59" t="str">
        <f>IF(L278="","",IF(X278&lt;&gt;"",V278,H278))</f>
        <v/>
      </c>
    </row>
    <row r="279" ht="30" customHeight="1">
      <c r="A279" s="50" t="n"/>
      <c r="B279" s="51" t="n"/>
      <c r="C279" s="51" t="n"/>
      <c r="D279" s="51" t="n"/>
      <c r="E279" s="51" t="n"/>
      <c r="F279" s="52" t="n"/>
      <c r="G279" s="51" t="n"/>
      <c r="H279" s="52" t="n"/>
      <c r="I279" s="51" t="n"/>
      <c r="J279" s="51" t="n"/>
      <c r="K279" s="52" t="n"/>
      <c r="L279" s="53" t="str">
        <f>IF(AND(IF(ISNUMBER(F279),AND(F279&gt;=1,F279&lt;=10,F279=INT(F279)),FALSE),IF(ISNUMBER(H279),AND(H279&gt;=1,H279&lt;=10,H279=INT(H279)),FALSE),IF(ISNUMBER(K279),AND(K279&gt;=1,K279&lt;=10,K279=INT(K279)),FALSE)),F279*H279*K279,"")</f>
        <v/>
      </c>
      <c r="M279" s="54" t="str">
        <f>IF(L279="",IF(D279="","","À coter"),IF(OR(F279&gt;=p_gmin,L279&gt;=p_ipr_crit),"Critique",IF(L279&gt;=p_ipr_act,"Élevée",IF(L279&gt;=p_ipr_watch,"Moyenne","Faible"))))</f>
        <v/>
      </c>
      <c r="N279" s="54" t="str">
        <f>IF(OR(M279="",M279="À coter"),"",IF(OR(M279="Critique",M279="Élevée"),"Oui","Non"))</f>
        <v/>
      </c>
      <c r="O279" s="51" t="n"/>
      <c r="P279" s="51" t="n"/>
      <c r="Q279" s="55" t="n"/>
      <c r="R279" s="50" t="n"/>
      <c r="S279" s="55" t="n"/>
      <c r="T279" s="56" t="n"/>
      <c r="U279" s="52" t="n"/>
      <c r="V279" s="52" t="n"/>
      <c r="W279" s="52" t="n"/>
      <c r="X279" s="53" t="str">
        <f>IF(AND(L279&lt;&gt;"",IF(ISNUMBER(U279),AND(U279&gt;=1,U279&lt;=10,U279=INT(U279)),FALSE),IF(ISNUMBER(V279),AND(V279&gt;=1,V279&lt;=10,V279=INT(V279)),FALSE),IF(ISNUMBER(W279),AND(W279&gt;=1,W279&lt;=10,W279=INT(W279)),FALSE)),U279*V279*W279,"")</f>
        <v/>
      </c>
      <c r="Y279" s="54" t="str">
        <f>IF(X279="","",IF(OR(U279&gt;=p_gmin,X279&gt;=p_ipr_crit),"Critique",IF(X279&gt;=p_ipr_act,"Élevée",IF(X279&gt;=p_ipr_watch,"Moyenne","Faible"))))</f>
        <v/>
      </c>
      <c r="Z279" s="57" t="str">
        <f>IF(X279="","",(L279-X279)/L279)</f>
        <v/>
      </c>
      <c r="AA279" s="54" t="str">
        <f>IF(AND(D279="",O279=""),"",IF(O279="",IF(N279="Oui","Action à définir",IF(N279="Non","Sans action","")),IF(R279="Annulée","Annulée",IF(R279="Réalisée",IF(X279="","À réévaluer","Réalisée"),IF(N(Q279)=0,"Échéance manquante",IF(Q279&lt;p_today,"En retard",IF(Q279-p_today&lt;=p_alert,"Échéance proche","Dans les délais")))))))</f>
        <v/>
      </c>
      <c r="AB279" s="58" t="str">
        <f>IF(AND(A279="",B279="",D279="",F279="",H279="",K279="",O279=""),"",IF(D279="","Mode de défaillance manquant",IF(AND(A279&lt;&gt;"",COUNTIF(am_num,A279)&gt;1),"N° en double",IF(F279="","Gravité G manquante",IF(NOT(IF(ISNUMBER(F279),AND(F279&gt;=1,F279&lt;=10,F279=INT(F279)),FALSE)),"G : entier de 1 à 10",IF(H279="","Occurrence O manquante",IF(NOT(IF(ISNUMBER(H279),AND(H279&gt;=1,H279&lt;=10,H279=INT(H279)),FALSE)),"O : entier de 1 à 10",IF(K279="","Détection D manquante",IF(NOT(IF(ISNUMBER(K279),AND(K279&gt;=1,K279&lt;=10,K279=INT(K279)),FALSE)),"D : entier de 1 à 10",IF(G279="","Cause manquante",IF(AND(O279&lt;&gt;"",P279=""),"Responsable manquant",IF(AND(R279&lt;&gt;"",O279=""),"Statut sans action",IF(AND(R279="Réalisée",N(S279)=0),"Date de réalisation manquante",IF(AND(T279&lt;&gt;"",IF(ISNUMBER(T279),T279&lt;0,TRUE)),"Coût invalide",IF(AND(COUNTBLANK(U279:W279)&gt;0,COUNTBLANK(U279:W279)&lt;3),"Cotation après action incomplète",IF(AND(COUNTBLANK(U279:W279)=0,X279=""),"G', O', D' : entiers de 1 à 10",IF(AND(X279&lt;&gt;"",X279&gt;L279),"IPR après action plus élevé","OK")))))))))))))))))</f>
        <v/>
      </c>
      <c r="AC279" s="59" t="str">
        <f>IF(OR(AA279="En retard",AA279="Échéance proche",AA279="Dans les délais",AA279="Échéance manquante",AA279="Action à définir",AA279="À réévaluer"),IF(OR(plan_who="",P279=plan_who),IF(N(Q279)&gt;0,Q279,99999)*1000+ROW(),""),"")</f>
        <v/>
      </c>
      <c r="AD279" s="59" t="str">
        <f>IF(L279="","",L279*1000+1000-ROW())</f>
        <v/>
      </c>
      <c r="AE279" s="59" t="str">
        <f>IF(IF(AA279="En retard",1,IF(AA279="Action à définir",2,IF(AA279="Échéance manquante",3,IF(AA279="Échéance proche",4,IF(AA279="À réévaluer",5,0)))))=0,"",IF(AA279="En retard",1,IF(AA279="Action à définir",2,IF(AA279="Échéance manquante",3,IF(AA279="Échéance proche",4,IF(AA279="À réévaluer",5,0)))))*100000000+IF(N(Q279)&gt;0,Q279,99999)*1000+ROW())</f>
        <v/>
      </c>
      <c r="AF279" s="59" t="str">
        <f>IF(X279&lt;&gt;"",X279,L279)</f>
        <v/>
      </c>
      <c r="AG279" s="59" t="str">
        <f>IF(X279&lt;&gt;"",Y279,IF(L279&lt;&gt;"",M279,""))</f>
        <v/>
      </c>
      <c r="AH279" s="59" t="str">
        <f>IF(L279="","",IF(X279&lt;&gt;"",U279,F279))</f>
        <v/>
      </c>
      <c r="AI279" s="59" t="str">
        <f>IF(L279="","",IF(X279&lt;&gt;"",V279,H279))</f>
        <v/>
      </c>
    </row>
    <row r="280" ht="30" customHeight="1">
      <c r="A280" s="50" t="n"/>
      <c r="B280" s="51" t="n"/>
      <c r="C280" s="51" t="n"/>
      <c r="D280" s="51" t="n"/>
      <c r="E280" s="51" t="n"/>
      <c r="F280" s="52" t="n"/>
      <c r="G280" s="51" t="n"/>
      <c r="H280" s="52" t="n"/>
      <c r="I280" s="51" t="n"/>
      <c r="J280" s="51" t="n"/>
      <c r="K280" s="52" t="n"/>
      <c r="L280" s="53" t="str">
        <f>IF(AND(IF(ISNUMBER(F280),AND(F280&gt;=1,F280&lt;=10,F280=INT(F280)),FALSE),IF(ISNUMBER(H280),AND(H280&gt;=1,H280&lt;=10,H280=INT(H280)),FALSE),IF(ISNUMBER(K280),AND(K280&gt;=1,K280&lt;=10,K280=INT(K280)),FALSE)),F280*H280*K280,"")</f>
        <v/>
      </c>
      <c r="M280" s="54" t="str">
        <f>IF(L280="",IF(D280="","","À coter"),IF(OR(F280&gt;=p_gmin,L280&gt;=p_ipr_crit),"Critique",IF(L280&gt;=p_ipr_act,"Élevée",IF(L280&gt;=p_ipr_watch,"Moyenne","Faible"))))</f>
        <v/>
      </c>
      <c r="N280" s="54" t="str">
        <f>IF(OR(M280="",M280="À coter"),"",IF(OR(M280="Critique",M280="Élevée"),"Oui","Non"))</f>
        <v/>
      </c>
      <c r="O280" s="51" t="n"/>
      <c r="P280" s="51" t="n"/>
      <c r="Q280" s="55" t="n"/>
      <c r="R280" s="50" t="n"/>
      <c r="S280" s="55" t="n"/>
      <c r="T280" s="56" t="n"/>
      <c r="U280" s="52" t="n"/>
      <c r="V280" s="52" t="n"/>
      <c r="W280" s="52" t="n"/>
      <c r="X280" s="53" t="str">
        <f>IF(AND(L280&lt;&gt;"",IF(ISNUMBER(U280),AND(U280&gt;=1,U280&lt;=10,U280=INT(U280)),FALSE),IF(ISNUMBER(V280),AND(V280&gt;=1,V280&lt;=10,V280=INT(V280)),FALSE),IF(ISNUMBER(W280),AND(W280&gt;=1,W280&lt;=10,W280=INT(W280)),FALSE)),U280*V280*W280,"")</f>
        <v/>
      </c>
      <c r="Y280" s="54" t="str">
        <f>IF(X280="","",IF(OR(U280&gt;=p_gmin,X280&gt;=p_ipr_crit),"Critique",IF(X280&gt;=p_ipr_act,"Élevée",IF(X280&gt;=p_ipr_watch,"Moyenne","Faible"))))</f>
        <v/>
      </c>
      <c r="Z280" s="57" t="str">
        <f>IF(X280="","",(L280-X280)/L280)</f>
        <v/>
      </c>
      <c r="AA280" s="54" t="str">
        <f>IF(AND(D280="",O280=""),"",IF(O280="",IF(N280="Oui","Action à définir",IF(N280="Non","Sans action","")),IF(R280="Annulée","Annulée",IF(R280="Réalisée",IF(X280="","À réévaluer","Réalisée"),IF(N(Q280)=0,"Échéance manquante",IF(Q280&lt;p_today,"En retard",IF(Q280-p_today&lt;=p_alert,"Échéance proche","Dans les délais")))))))</f>
        <v/>
      </c>
      <c r="AB280" s="58" t="str">
        <f>IF(AND(A280="",B280="",D280="",F280="",H280="",K280="",O280=""),"",IF(D280="","Mode de défaillance manquant",IF(AND(A280&lt;&gt;"",COUNTIF(am_num,A280)&gt;1),"N° en double",IF(F280="","Gravité G manquante",IF(NOT(IF(ISNUMBER(F280),AND(F280&gt;=1,F280&lt;=10,F280=INT(F280)),FALSE)),"G : entier de 1 à 10",IF(H280="","Occurrence O manquante",IF(NOT(IF(ISNUMBER(H280),AND(H280&gt;=1,H280&lt;=10,H280=INT(H280)),FALSE)),"O : entier de 1 à 10",IF(K280="","Détection D manquante",IF(NOT(IF(ISNUMBER(K280),AND(K280&gt;=1,K280&lt;=10,K280=INT(K280)),FALSE)),"D : entier de 1 à 10",IF(G280="","Cause manquante",IF(AND(O280&lt;&gt;"",P280=""),"Responsable manquant",IF(AND(R280&lt;&gt;"",O280=""),"Statut sans action",IF(AND(R280="Réalisée",N(S280)=0),"Date de réalisation manquante",IF(AND(T280&lt;&gt;"",IF(ISNUMBER(T280),T280&lt;0,TRUE)),"Coût invalide",IF(AND(COUNTBLANK(U280:W280)&gt;0,COUNTBLANK(U280:W280)&lt;3),"Cotation après action incomplète",IF(AND(COUNTBLANK(U280:W280)=0,X280=""),"G', O', D' : entiers de 1 à 10",IF(AND(X280&lt;&gt;"",X280&gt;L280),"IPR après action plus élevé","OK")))))))))))))))))</f>
        <v/>
      </c>
      <c r="AC280" s="59" t="str">
        <f>IF(OR(AA280="En retard",AA280="Échéance proche",AA280="Dans les délais",AA280="Échéance manquante",AA280="Action à définir",AA280="À réévaluer"),IF(OR(plan_who="",P280=plan_who),IF(N(Q280)&gt;0,Q280,99999)*1000+ROW(),""),"")</f>
        <v/>
      </c>
      <c r="AD280" s="59" t="str">
        <f>IF(L280="","",L280*1000+1000-ROW())</f>
        <v/>
      </c>
      <c r="AE280" s="59" t="str">
        <f>IF(IF(AA280="En retard",1,IF(AA280="Action à définir",2,IF(AA280="Échéance manquante",3,IF(AA280="Échéance proche",4,IF(AA280="À réévaluer",5,0)))))=0,"",IF(AA280="En retard",1,IF(AA280="Action à définir",2,IF(AA280="Échéance manquante",3,IF(AA280="Échéance proche",4,IF(AA280="À réévaluer",5,0)))))*100000000+IF(N(Q280)&gt;0,Q280,99999)*1000+ROW())</f>
        <v/>
      </c>
      <c r="AF280" s="59" t="str">
        <f>IF(X280&lt;&gt;"",X280,L280)</f>
        <v/>
      </c>
      <c r="AG280" s="59" t="str">
        <f>IF(X280&lt;&gt;"",Y280,IF(L280&lt;&gt;"",M280,""))</f>
        <v/>
      </c>
      <c r="AH280" s="59" t="str">
        <f>IF(L280="","",IF(X280&lt;&gt;"",U280,F280))</f>
        <v/>
      </c>
      <c r="AI280" s="59" t="str">
        <f>IF(L280="","",IF(X280&lt;&gt;"",V280,H280))</f>
        <v/>
      </c>
    </row>
    <row r="281" ht="30" customHeight="1">
      <c r="A281" s="50" t="n"/>
      <c r="B281" s="51" t="n"/>
      <c r="C281" s="51" t="n"/>
      <c r="D281" s="51" t="n"/>
      <c r="E281" s="51" t="n"/>
      <c r="F281" s="52" t="n"/>
      <c r="G281" s="51" t="n"/>
      <c r="H281" s="52" t="n"/>
      <c r="I281" s="51" t="n"/>
      <c r="J281" s="51" t="n"/>
      <c r="K281" s="52" t="n"/>
      <c r="L281" s="53" t="str">
        <f>IF(AND(IF(ISNUMBER(F281),AND(F281&gt;=1,F281&lt;=10,F281=INT(F281)),FALSE),IF(ISNUMBER(H281),AND(H281&gt;=1,H281&lt;=10,H281=INT(H281)),FALSE),IF(ISNUMBER(K281),AND(K281&gt;=1,K281&lt;=10,K281=INT(K281)),FALSE)),F281*H281*K281,"")</f>
        <v/>
      </c>
      <c r="M281" s="54" t="str">
        <f>IF(L281="",IF(D281="","","À coter"),IF(OR(F281&gt;=p_gmin,L281&gt;=p_ipr_crit),"Critique",IF(L281&gt;=p_ipr_act,"Élevée",IF(L281&gt;=p_ipr_watch,"Moyenne","Faible"))))</f>
        <v/>
      </c>
      <c r="N281" s="54" t="str">
        <f>IF(OR(M281="",M281="À coter"),"",IF(OR(M281="Critique",M281="Élevée"),"Oui","Non"))</f>
        <v/>
      </c>
      <c r="O281" s="51" t="n"/>
      <c r="P281" s="51" t="n"/>
      <c r="Q281" s="55" t="n"/>
      <c r="R281" s="50" t="n"/>
      <c r="S281" s="55" t="n"/>
      <c r="T281" s="56" t="n"/>
      <c r="U281" s="52" t="n"/>
      <c r="V281" s="52" t="n"/>
      <c r="W281" s="52" t="n"/>
      <c r="X281" s="53" t="str">
        <f>IF(AND(L281&lt;&gt;"",IF(ISNUMBER(U281),AND(U281&gt;=1,U281&lt;=10,U281=INT(U281)),FALSE),IF(ISNUMBER(V281),AND(V281&gt;=1,V281&lt;=10,V281=INT(V281)),FALSE),IF(ISNUMBER(W281),AND(W281&gt;=1,W281&lt;=10,W281=INT(W281)),FALSE)),U281*V281*W281,"")</f>
        <v/>
      </c>
      <c r="Y281" s="54" t="str">
        <f>IF(X281="","",IF(OR(U281&gt;=p_gmin,X281&gt;=p_ipr_crit),"Critique",IF(X281&gt;=p_ipr_act,"Élevée",IF(X281&gt;=p_ipr_watch,"Moyenne","Faible"))))</f>
        <v/>
      </c>
      <c r="Z281" s="57" t="str">
        <f>IF(X281="","",(L281-X281)/L281)</f>
        <v/>
      </c>
      <c r="AA281" s="54" t="str">
        <f>IF(AND(D281="",O281=""),"",IF(O281="",IF(N281="Oui","Action à définir",IF(N281="Non","Sans action","")),IF(R281="Annulée","Annulée",IF(R281="Réalisée",IF(X281="","À réévaluer","Réalisée"),IF(N(Q281)=0,"Échéance manquante",IF(Q281&lt;p_today,"En retard",IF(Q281-p_today&lt;=p_alert,"Échéance proche","Dans les délais")))))))</f>
        <v/>
      </c>
      <c r="AB281" s="58" t="str">
        <f>IF(AND(A281="",B281="",D281="",F281="",H281="",K281="",O281=""),"",IF(D281="","Mode de défaillance manquant",IF(AND(A281&lt;&gt;"",COUNTIF(am_num,A281)&gt;1),"N° en double",IF(F281="","Gravité G manquante",IF(NOT(IF(ISNUMBER(F281),AND(F281&gt;=1,F281&lt;=10,F281=INT(F281)),FALSE)),"G : entier de 1 à 10",IF(H281="","Occurrence O manquante",IF(NOT(IF(ISNUMBER(H281),AND(H281&gt;=1,H281&lt;=10,H281=INT(H281)),FALSE)),"O : entier de 1 à 10",IF(K281="","Détection D manquante",IF(NOT(IF(ISNUMBER(K281),AND(K281&gt;=1,K281&lt;=10,K281=INT(K281)),FALSE)),"D : entier de 1 à 10",IF(G281="","Cause manquante",IF(AND(O281&lt;&gt;"",P281=""),"Responsable manquant",IF(AND(R281&lt;&gt;"",O281=""),"Statut sans action",IF(AND(R281="Réalisée",N(S281)=0),"Date de réalisation manquante",IF(AND(T281&lt;&gt;"",IF(ISNUMBER(T281),T281&lt;0,TRUE)),"Coût invalide",IF(AND(COUNTBLANK(U281:W281)&gt;0,COUNTBLANK(U281:W281)&lt;3),"Cotation après action incomplète",IF(AND(COUNTBLANK(U281:W281)=0,X281=""),"G', O', D' : entiers de 1 à 10",IF(AND(X281&lt;&gt;"",X281&gt;L281),"IPR après action plus élevé","OK")))))))))))))))))</f>
        <v/>
      </c>
      <c r="AC281" s="59" t="str">
        <f>IF(OR(AA281="En retard",AA281="Échéance proche",AA281="Dans les délais",AA281="Échéance manquante",AA281="Action à définir",AA281="À réévaluer"),IF(OR(plan_who="",P281=plan_who),IF(N(Q281)&gt;0,Q281,99999)*1000+ROW(),""),"")</f>
        <v/>
      </c>
      <c r="AD281" s="59" t="str">
        <f>IF(L281="","",L281*1000+1000-ROW())</f>
        <v/>
      </c>
      <c r="AE281" s="59" t="str">
        <f>IF(IF(AA281="En retard",1,IF(AA281="Action à définir",2,IF(AA281="Échéance manquante",3,IF(AA281="Échéance proche",4,IF(AA281="À réévaluer",5,0)))))=0,"",IF(AA281="En retard",1,IF(AA281="Action à définir",2,IF(AA281="Échéance manquante",3,IF(AA281="Échéance proche",4,IF(AA281="À réévaluer",5,0)))))*100000000+IF(N(Q281)&gt;0,Q281,99999)*1000+ROW())</f>
        <v/>
      </c>
      <c r="AF281" s="59" t="str">
        <f>IF(X281&lt;&gt;"",X281,L281)</f>
        <v/>
      </c>
      <c r="AG281" s="59" t="str">
        <f>IF(X281&lt;&gt;"",Y281,IF(L281&lt;&gt;"",M281,""))</f>
        <v/>
      </c>
      <c r="AH281" s="59" t="str">
        <f>IF(L281="","",IF(X281&lt;&gt;"",U281,F281))</f>
        <v/>
      </c>
      <c r="AI281" s="59" t="str">
        <f>IF(L281="","",IF(X281&lt;&gt;"",V281,H281))</f>
        <v/>
      </c>
    </row>
    <row r="282" ht="30" customHeight="1">
      <c r="A282" s="50" t="n"/>
      <c r="B282" s="51" t="n"/>
      <c r="C282" s="51" t="n"/>
      <c r="D282" s="51" t="n"/>
      <c r="E282" s="51" t="n"/>
      <c r="F282" s="52" t="n"/>
      <c r="G282" s="51" t="n"/>
      <c r="H282" s="52" t="n"/>
      <c r="I282" s="51" t="n"/>
      <c r="J282" s="51" t="n"/>
      <c r="K282" s="52" t="n"/>
      <c r="L282" s="53" t="str">
        <f>IF(AND(IF(ISNUMBER(F282),AND(F282&gt;=1,F282&lt;=10,F282=INT(F282)),FALSE),IF(ISNUMBER(H282),AND(H282&gt;=1,H282&lt;=10,H282=INT(H282)),FALSE),IF(ISNUMBER(K282),AND(K282&gt;=1,K282&lt;=10,K282=INT(K282)),FALSE)),F282*H282*K282,"")</f>
        <v/>
      </c>
      <c r="M282" s="54" t="str">
        <f>IF(L282="",IF(D282="","","À coter"),IF(OR(F282&gt;=p_gmin,L282&gt;=p_ipr_crit),"Critique",IF(L282&gt;=p_ipr_act,"Élevée",IF(L282&gt;=p_ipr_watch,"Moyenne","Faible"))))</f>
        <v/>
      </c>
      <c r="N282" s="54" t="str">
        <f>IF(OR(M282="",M282="À coter"),"",IF(OR(M282="Critique",M282="Élevée"),"Oui","Non"))</f>
        <v/>
      </c>
      <c r="O282" s="51" t="n"/>
      <c r="P282" s="51" t="n"/>
      <c r="Q282" s="55" t="n"/>
      <c r="R282" s="50" t="n"/>
      <c r="S282" s="55" t="n"/>
      <c r="T282" s="56" t="n"/>
      <c r="U282" s="52" t="n"/>
      <c r="V282" s="52" t="n"/>
      <c r="W282" s="52" t="n"/>
      <c r="X282" s="53" t="str">
        <f>IF(AND(L282&lt;&gt;"",IF(ISNUMBER(U282),AND(U282&gt;=1,U282&lt;=10,U282=INT(U282)),FALSE),IF(ISNUMBER(V282),AND(V282&gt;=1,V282&lt;=10,V282=INT(V282)),FALSE),IF(ISNUMBER(W282),AND(W282&gt;=1,W282&lt;=10,W282=INT(W282)),FALSE)),U282*V282*W282,"")</f>
        <v/>
      </c>
      <c r="Y282" s="54" t="str">
        <f>IF(X282="","",IF(OR(U282&gt;=p_gmin,X282&gt;=p_ipr_crit),"Critique",IF(X282&gt;=p_ipr_act,"Élevée",IF(X282&gt;=p_ipr_watch,"Moyenne","Faible"))))</f>
        <v/>
      </c>
      <c r="Z282" s="57" t="str">
        <f>IF(X282="","",(L282-X282)/L282)</f>
        <v/>
      </c>
      <c r="AA282" s="54" t="str">
        <f>IF(AND(D282="",O282=""),"",IF(O282="",IF(N282="Oui","Action à définir",IF(N282="Non","Sans action","")),IF(R282="Annulée","Annulée",IF(R282="Réalisée",IF(X282="","À réévaluer","Réalisée"),IF(N(Q282)=0,"Échéance manquante",IF(Q282&lt;p_today,"En retard",IF(Q282-p_today&lt;=p_alert,"Échéance proche","Dans les délais")))))))</f>
        <v/>
      </c>
      <c r="AB282" s="58" t="str">
        <f>IF(AND(A282="",B282="",D282="",F282="",H282="",K282="",O282=""),"",IF(D282="","Mode de défaillance manquant",IF(AND(A282&lt;&gt;"",COUNTIF(am_num,A282)&gt;1),"N° en double",IF(F282="","Gravité G manquante",IF(NOT(IF(ISNUMBER(F282),AND(F282&gt;=1,F282&lt;=10,F282=INT(F282)),FALSE)),"G : entier de 1 à 10",IF(H282="","Occurrence O manquante",IF(NOT(IF(ISNUMBER(H282),AND(H282&gt;=1,H282&lt;=10,H282=INT(H282)),FALSE)),"O : entier de 1 à 10",IF(K282="","Détection D manquante",IF(NOT(IF(ISNUMBER(K282),AND(K282&gt;=1,K282&lt;=10,K282=INT(K282)),FALSE)),"D : entier de 1 à 10",IF(G282="","Cause manquante",IF(AND(O282&lt;&gt;"",P282=""),"Responsable manquant",IF(AND(R282&lt;&gt;"",O282=""),"Statut sans action",IF(AND(R282="Réalisée",N(S282)=0),"Date de réalisation manquante",IF(AND(T282&lt;&gt;"",IF(ISNUMBER(T282),T282&lt;0,TRUE)),"Coût invalide",IF(AND(COUNTBLANK(U282:W282)&gt;0,COUNTBLANK(U282:W282)&lt;3),"Cotation après action incomplète",IF(AND(COUNTBLANK(U282:W282)=0,X282=""),"G', O', D' : entiers de 1 à 10",IF(AND(X282&lt;&gt;"",X282&gt;L282),"IPR après action plus élevé","OK")))))))))))))))))</f>
        <v/>
      </c>
      <c r="AC282" s="59" t="str">
        <f>IF(OR(AA282="En retard",AA282="Échéance proche",AA282="Dans les délais",AA282="Échéance manquante",AA282="Action à définir",AA282="À réévaluer"),IF(OR(plan_who="",P282=plan_who),IF(N(Q282)&gt;0,Q282,99999)*1000+ROW(),""),"")</f>
        <v/>
      </c>
      <c r="AD282" s="59" t="str">
        <f>IF(L282="","",L282*1000+1000-ROW())</f>
        <v/>
      </c>
      <c r="AE282" s="59" t="str">
        <f>IF(IF(AA282="En retard",1,IF(AA282="Action à définir",2,IF(AA282="Échéance manquante",3,IF(AA282="Échéance proche",4,IF(AA282="À réévaluer",5,0)))))=0,"",IF(AA282="En retard",1,IF(AA282="Action à définir",2,IF(AA282="Échéance manquante",3,IF(AA282="Échéance proche",4,IF(AA282="À réévaluer",5,0)))))*100000000+IF(N(Q282)&gt;0,Q282,99999)*1000+ROW())</f>
        <v/>
      </c>
      <c r="AF282" s="59" t="str">
        <f>IF(X282&lt;&gt;"",X282,L282)</f>
        <v/>
      </c>
      <c r="AG282" s="59" t="str">
        <f>IF(X282&lt;&gt;"",Y282,IF(L282&lt;&gt;"",M282,""))</f>
        <v/>
      </c>
      <c r="AH282" s="59" t="str">
        <f>IF(L282="","",IF(X282&lt;&gt;"",U282,F282))</f>
        <v/>
      </c>
      <c r="AI282" s="59" t="str">
        <f>IF(L282="","",IF(X282&lt;&gt;"",V282,H282))</f>
        <v/>
      </c>
    </row>
    <row r="283" ht="30" customHeight="1">
      <c r="A283" s="50" t="n"/>
      <c r="B283" s="51" t="n"/>
      <c r="C283" s="51" t="n"/>
      <c r="D283" s="51" t="n"/>
      <c r="E283" s="51" t="n"/>
      <c r="F283" s="52" t="n"/>
      <c r="G283" s="51" t="n"/>
      <c r="H283" s="52" t="n"/>
      <c r="I283" s="51" t="n"/>
      <c r="J283" s="51" t="n"/>
      <c r="K283" s="52" t="n"/>
      <c r="L283" s="53" t="str">
        <f>IF(AND(IF(ISNUMBER(F283),AND(F283&gt;=1,F283&lt;=10,F283=INT(F283)),FALSE),IF(ISNUMBER(H283),AND(H283&gt;=1,H283&lt;=10,H283=INT(H283)),FALSE),IF(ISNUMBER(K283),AND(K283&gt;=1,K283&lt;=10,K283=INT(K283)),FALSE)),F283*H283*K283,"")</f>
        <v/>
      </c>
      <c r="M283" s="54" t="str">
        <f>IF(L283="",IF(D283="","","À coter"),IF(OR(F283&gt;=p_gmin,L283&gt;=p_ipr_crit),"Critique",IF(L283&gt;=p_ipr_act,"Élevée",IF(L283&gt;=p_ipr_watch,"Moyenne","Faible"))))</f>
        <v/>
      </c>
      <c r="N283" s="54" t="str">
        <f>IF(OR(M283="",M283="À coter"),"",IF(OR(M283="Critique",M283="Élevée"),"Oui","Non"))</f>
        <v/>
      </c>
      <c r="O283" s="51" t="n"/>
      <c r="P283" s="51" t="n"/>
      <c r="Q283" s="55" t="n"/>
      <c r="R283" s="50" t="n"/>
      <c r="S283" s="55" t="n"/>
      <c r="T283" s="56" t="n"/>
      <c r="U283" s="52" t="n"/>
      <c r="V283" s="52" t="n"/>
      <c r="W283" s="52" t="n"/>
      <c r="X283" s="53" t="str">
        <f>IF(AND(L283&lt;&gt;"",IF(ISNUMBER(U283),AND(U283&gt;=1,U283&lt;=10,U283=INT(U283)),FALSE),IF(ISNUMBER(V283),AND(V283&gt;=1,V283&lt;=10,V283=INT(V283)),FALSE),IF(ISNUMBER(W283),AND(W283&gt;=1,W283&lt;=10,W283=INT(W283)),FALSE)),U283*V283*W283,"")</f>
        <v/>
      </c>
      <c r="Y283" s="54" t="str">
        <f>IF(X283="","",IF(OR(U283&gt;=p_gmin,X283&gt;=p_ipr_crit),"Critique",IF(X283&gt;=p_ipr_act,"Élevée",IF(X283&gt;=p_ipr_watch,"Moyenne","Faible"))))</f>
        <v/>
      </c>
      <c r="Z283" s="57" t="str">
        <f>IF(X283="","",(L283-X283)/L283)</f>
        <v/>
      </c>
      <c r="AA283" s="54" t="str">
        <f>IF(AND(D283="",O283=""),"",IF(O283="",IF(N283="Oui","Action à définir",IF(N283="Non","Sans action","")),IF(R283="Annulée","Annulée",IF(R283="Réalisée",IF(X283="","À réévaluer","Réalisée"),IF(N(Q283)=0,"Échéance manquante",IF(Q283&lt;p_today,"En retard",IF(Q283-p_today&lt;=p_alert,"Échéance proche","Dans les délais")))))))</f>
        <v/>
      </c>
      <c r="AB283" s="58" t="str">
        <f>IF(AND(A283="",B283="",D283="",F283="",H283="",K283="",O283=""),"",IF(D283="","Mode de défaillance manquant",IF(AND(A283&lt;&gt;"",COUNTIF(am_num,A283)&gt;1),"N° en double",IF(F283="","Gravité G manquante",IF(NOT(IF(ISNUMBER(F283),AND(F283&gt;=1,F283&lt;=10,F283=INT(F283)),FALSE)),"G : entier de 1 à 10",IF(H283="","Occurrence O manquante",IF(NOT(IF(ISNUMBER(H283),AND(H283&gt;=1,H283&lt;=10,H283=INT(H283)),FALSE)),"O : entier de 1 à 10",IF(K283="","Détection D manquante",IF(NOT(IF(ISNUMBER(K283),AND(K283&gt;=1,K283&lt;=10,K283=INT(K283)),FALSE)),"D : entier de 1 à 10",IF(G283="","Cause manquante",IF(AND(O283&lt;&gt;"",P283=""),"Responsable manquant",IF(AND(R283&lt;&gt;"",O283=""),"Statut sans action",IF(AND(R283="Réalisée",N(S283)=0),"Date de réalisation manquante",IF(AND(T283&lt;&gt;"",IF(ISNUMBER(T283),T283&lt;0,TRUE)),"Coût invalide",IF(AND(COUNTBLANK(U283:W283)&gt;0,COUNTBLANK(U283:W283)&lt;3),"Cotation après action incomplète",IF(AND(COUNTBLANK(U283:W283)=0,X283=""),"G', O', D' : entiers de 1 à 10",IF(AND(X283&lt;&gt;"",X283&gt;L283),"IPR après action plus élevé","OK")))))))))))))))))</f>
        <v/>
      </c>
      <c r="AC283" s="59" t="str">
        <f>IF(OR(AA283="En retard",AA283="Échéance proche",AA283="Dans les délais",AA283="Échéance manquante",AA283="Action à définir",AA283="À réévaluer"),IF(OR(plan_who="",P283=plan_who),IF(N(Q283)&gt;0,Q283,99999)*1000+ROW(),""),"")</f>
        <v/>
      </c>
      <c r="AD283" s="59" t="str">
        <f>IF(L283="","",L283*1000+1000-ROW())</f>
        <v/>
      </c>
      <c r="AE283" s="59" t="str">
        <f>IF(IF(AA283="En retard",1,IF(AA283="Action à définir",2,IF(AA283="Échéance manquante",3,IF(AA283="Échéance proche",4,IF(AA283="À réévaluer",5,0)))))=0,"",IF(AA283="En retard",1,IF(AA283="Action à définir",2,IF(AA283="Échéance manquante",3,IF(AA283="Échéance proche",4,IF(AA283="À réévaluer",5,0)))))*100000000+IF(N(Q283)&gt;0,Q283,99999)*1000+ROW())</f>
        <v/>
      </c>
      <c r="AF283" s="59" t="str">
        <f>IF(X283&lt;&gt;"",X283,L283)</f>
        <v/>
      </c>
      <c r="AG283" s="59" t="str">
        <f>IF(X283&lt;&gt;"",Y283,IF(L283&lt;&gt;"",M283,""))</f>
        <v/>
      </c>
      <c r="AH283" s="59" t="str">
        <f>IF(L283="","",IF(X283&lt;&gt;"",U283,F283))</f>
        <v/>
      </c>
      <c r="AI283" s="59" t="str">
        <f>IF(L283="","",IF(X283&lt;&gt;"",V283,H283))</f>
        <v/>
      </c>
    </row>
    <row r="284" ht="30" customHeight="1">
      <c r="A284" s="50" t="n"/>
      <c r="B284" s="51" t="n"/>
      <c r="C284" s="51" t="n"/>
      <c r="D284" s="51" t="n"/>
      <c r="E284" s="51" t="n"/>
      <c r="F284" s="52" t="n"/>
      <c r="G284" s="51" t="n"/>
      <c r="H284" s="52" t="n"/>
      <c r="I284" s="51" t="n"/>
      <c r="J284" s="51" t="n"/>
      <c r="K284" s="52" t="n"/>
      <c r="L284" s="53" t="str">
        <f>IF(AND(IF(ISNUMBER(F284),AND(F284&gt;=1,F284&lt;=10,F284=INT(F284)),FALSE),IF(ISNUMBER(H284),AND(H284&gt;=1,H284&lt;=10,H284=INT(H284)),FALSE),IF(ISNUMBER(K284),AND(K284&gt;=1,K284&lt;=10,K284=INT(K284)),FALSE)),F284*H284*K284,"")</f>
        <v/>
      </c>
      <c r="M284" s="54" t="str">
        <f>IF(L284="",IF(D284="","","À coter"),IF(OR(F284&gt;=p_gmin,L284&gt;=p_ipr_crit),"Critique",IF(L284&gt;=p_ipr_act,"Élevée",IF(L284&gt;=p_ipr_watch,"Moyenne","Faible"))))</f>
        <v/>
      </c>
      <c r="N284" s="54" t="str">
        <f>IF(OR(M284="",M284="À coter"),"",IF(OR(M284="Critique",M284="Élevée"),"Oui","Non"))</f>
        <v/>
      </c>
      <c r="O284" s="51" t="n"/>
      <c r="P284" s="51" t="n"/>
      <c r="Q284" s="55" t="n"/>
      <c r="R284" s="50" t="n"/>
      <c r="S284" s="55" t="n"/>
      <c r="T284" s="56" t="n"/>
      <c r="U284" s="52" t="n"/>
      <c r="V284" s="52" t="n"/>
      <c r="W284" s="52" t="n"/>
      <c r="X284" s="53" t="str">
        <f>IF(AND(L284&lt;&gt;"",IF(ISNUMBER(U284),AND(U284&gt;=1,U284&lt;=10,U284=INT(U284)),FALSE),IF(ISNUMBER(V284),AND(V284&gt;=1,V284&lt;=10,V284=INT(V284)),FALSE),IF(ISNUMBER(W284),AND(W284&gt;=1,W284&lt;=10,W284=INT(W284)),FALSE)),U284*V284*W284,"")</f>
        <v/>
      </c>
      <c r="Y284" s="54" t="str">
        <f>IF(X284="","",IF(OR(U284&gt;=p_gmin,X284&gt;=p_ipr_crit),"Critique",IF(X284&gt;=p_ipr_act,"Élevée",IF(X284&gt;=p_ipr_watch,"Moyenne","Faible"))))</f>
        <v/>
      </c>
      <c r="Z284" s="57" t="str">
        <f>IF(X284="","",(L284-X284)/L284)</f>
        <v/>
      </c>
      <c r="AA284" s="54" t="str">
        <f>IF(AND(D284="",O284=""),"",IF(O284="",IF(N284="Oui","Action à définir",IF(N284="Non","Sans action","")),IF(R284="Annulée","Annulée",IF(R284="Réalisée",IF(X284="","À réévaluer","Réalisée"),IF(N(Q284)=0,"Échéance manquante",IF(Q284&lt;p_today,"En retard",IF(Q284-p_today&lt;=p_alert,"Échéance proche","Dans les délais")))))))</f>
        <v/>
      </c>
      <c r="AB284" s="58" t="str">
        <f>IF(AND(A284="",B284="",D284="",F284="",H284="",K284="",O284=""),"",IF(D284="","Mode de défaillance manquant",IF(AND(A284&lt;&gt;"",COUNTIF(am_num,A284)&gt;1),"N° en double",IF(F284="","Gravité G manquante",IF(NOT(IF(ISNUMBER(F284),AND(F284&gt;=1,F284&lt;=10,F284=INT(F284)),FALSE)),"G : entier de 1 à 10",IF(H284="","Occurrence O manquante",IF(NOT(IF(ISNUMBER(H284),AND(H284&gt;=1,H284&lt;=10,H284=INT(H284)),FALSE)),"O : entier de 1 à 10",IF(K284="","Détection D manquante",IF(NOT(IF(ISNUMBER(K284),AND(K284&gt;=1,K284&lt;=10,K284=INT(K284)),FALSE)),"D : entier de 1 à 10",IF(G284="","Cause manquante",IF(AND(O284&lt;&gt;"",P284=""),"Responsable manquant",IF(AND(R284&lt;&gt;"",O284=""),"Statut sans action",IF(AND(R284="Réalisée",N(S284)=0),"Date de réalisation manquante",IF(AND(T284&lt;&gt;"",IF(ISNUMBER(T284),T284&lt;0,TRUE)),"Coût invalide",IF(AND(COUNTBLANK(U284:W284)&gt;0,COUNTBLANK(U284:W284)&lt;3),"Cotation après action incomplète",IF(AND(COUNTBLANK(U284:W284)=0,X284=""),"G', O', D' : entiers de 1 à 10",IF(AND(X284&lt;&gt;"",X284&gt;L284),"IPR après action plus élevé","OK")))))))))))))))))</f>
        <v/>
      </c>
      <c r="AC284" s="59" t="str">
        <f>IF(OR(AA284="En retard",AA284="Échéance proche",AA284="Dans les délais",AA284="Échéance manquante",AA284="Action à définir",AA284="À réévaluer"),IF(OR(plan_who="",P284=plan_who),IF(N(Q284)&gt;0,Q284,99999)*1000+ROW(),""),"")</f>
        <v/>
      </c>
      <c r="AD284" s="59" t="str">
        <f>IF(L284="","",L284*1000+1000-ROW())</f>
        <v/>
      </c>
      <c r="AE284" s="59" t="str">
        <f>IF(IF(AA284="En retard",1,IF(AA284="Action à définir",2,IF(AA284="Échéance manquante",3,IF(AA284="Échéance proche",4,IF(AA284="À réévaluer",5,0)))))=0,"",IF(AA284="En retard",1,IF(AA284="Action à définir",2,IF(AA284="Échéance manquante",3,IF(AA284="Échéance proche",4,IF(AA284="À réévaluer",5,0)))))*100000000+IF(N(Q284)&gt;0,Q284,99999)*1000+ROW())</f>
        <v/>
      </c>
      <c r="AF284" s="59" t="str">
        <f>IF(X284&lt;&gt;"",X284,L284)</f>
        <v/>
      </c>
      <c r="AG284" s="59" t="str">
        <f>IF(X284&lt;&gt;"",Y284,IF(L284&lt;&gt;"",M284,""))</f>
        <v/>
      </c>
      <c r="AH284" s="59" t="str">
        <f>IF(L284="","",IF(X284&lt;&gt;"",U284,F284))</f>
        <v/>
      </c>
      <c r="AI284" s="59" t="str">
        <f>IF(L284="","",IF(X284&lt;&gt;"",V284,H284))</f>
        <v/>
      </c>
    </row>
    <row r="285" ht="30" customHeight="1">
      <c r="A285" s="50" t="n"/>
      <c r="B285" s="51" t="n"/>
      <c r="C285" s="51" t="n"/>
      <c r="D285" s="51" t="n"/>
      <c r="E285" s="51" t="n"/>
      <c r="F285" s="52" t="n"/>
      <c r="G285" s="51" t="n"/>
      <c r="H285" s="52" t="n"/>
      <c r="I285" s="51" t="n"/>
      <c r="J285" s="51" t="n"/>
      <c r="K285" s="52" t="n"/>
      <c r="L285" s="53" t="str">
        <f>IF(AND(IF(ISNUMBER(F285),AND(F285&gt;=1,F285&lt;=10,F285=INT(F285)),FALSE),IF(ISNUMBER(H285),AND(H285&gt;=1,H285&lt;=10,H285=INT(H285)),FALSE),IF(ISNUMBER(K285),AND(K285&gt;=1,K285&lt;=10,K285=INT(K285)),FALSE)),F285*H285*K285,"")</f>
        <v/>
      </c>
      <c r="M285" s="54" t="str">
        <f>IF(L285="",IF(D285="","","À coter"),IF(OR(F285&gt;=p_gmin,L285&gt;=p_ipr_crit),"Critique",IF(L285&gt;=p_ipr_act,"Élevée",IF(L285&gt;=p_ipr_watch,"Moyenne","Faible"))))</f>
        <v/>
      </c>
      <c r="N285" s="54" t="str">
        <f>IF(OR(M285="",M285="À coter"),"",IF(OR(M285="Critique",M285="Élevée"),"Oui","Non"))</f>
        <v/>
      </c>
      <c r="O285" s="51" t="n"/>
      <c r="P285" s="51" t="n"/>
      <c r="Q285" s="55" t="n"/>
      <c r="R285" s="50" t="n"/>
      <c r="S285" s="55" t="n"/>
      <c r="T285" s="56" t="n"/>
      <c r="U285" s="52" t="n"/>
      <c r="V285" s="52" t="n"/>
      <c r="W285" s="52" t="n"/>
      <c r="X285" s="53" t="str">
        <f>IF(AND(L285&lt;&gt;"",IF(ISNUMBER(U285),AND(U285&gt;=1,U285&lt;=10,U285=INT(U285)),FALSE),IF(ISNUMBER(V285),AND(V285&gt;=1,V285&lt;=10,V285=INT(V285)),FALSE),IF(ISNUMBER(W285),AND(W285&gt;=1,W285&lt;=10,W285=INT(W285)),FALSE)),U285*V285*W285,"")</f>
        <v/>
      </c>
      <c r="Y285" s="54" t="str">
        <f>IF(X285="","",IF(OR(U285&gt;=p_gmin,X285&gt;=p_ipr_crit),"Critique",IF(X285&gt;=p_ipr_act,"Élevée",IF(X285&gt;=p_ipr_watch,"Moyenne","Faible"))))</f>
        <v/>
      </c>
      <c r="Z285" s="57" t="str">
        <f>IF(X285="","",(L285-X285)/L285)</f>
        <v/>
      </c>
      <c r="AA285" s="54" t="str">
        <f>IF(AND(D285="",O285=""),"",IF(O285="",IF(N285="Oui","Action à définir",IF(N285="Non","Sans action","")),IF(R285="Annulée","Annulée",IF(R285="Réalisée",IF(X285="","À réévaluer","Réalisée"),IF(N(Q285)=0,"Échéance manquante",IF(Q285&lt;p_today,"En retard",IF(Q285-p_today&lt;=p_alert,"Échéance proche","Dans les délais")))))))</f>
        <v/>
      </c>
      <c r="AB285" s="58" t="str">
        <f>IF(AND(A285="",B285="",D285="",F285="",H285="",K285="",O285=""),"",IF(D285="","Mode de défaillance manquant",IF(AND(A285&lt;&gt;"",COUNTIF(am_num,A285)&gt;1),"N° en double",IF(F285="","Gravité G manquante",IF(NOT(IF(ISNUMBER(F285),AND(F285&gt;=1,F285&lt;=10,F285=INT(F285)),FALSE)),"G : entier de 1 à 10",IF(H285="","Occurrence O manquante",IF(NOT(IF(ISNUMBER(H285),AND(H285&gt;=1,H285&lt;=10,H285=INT(H285)),FALSE)),"O : entier de 1 à 10",IF(K285="","Détection D manquante",IF(NOT(IF(ISNUMBER(K285),AND(K285&gt;=1,K285&lt;=10,K285=INT(K285)),FALSE)),"D : entier de 1 à 10",IF(G285="","Cause manquante",IF(AND(O285&lt;&gt;"",P285=""),"Responsable manquant",IF(AND(R285&lt;&gt;"",O285=""),"Statut sans action",IF(AND(R285="Réalisée",N(S285)=0),"Date de réalisation manquante",IF(AND(T285&lt;&gt;"",IF(ISNUMBER(T285),T285&lt;0,TRUE)),"Coût invalide",IF(AND(COUNTBLANK(U285:W285)&gt;0,COUNTBLANK(U285:W285)&lt;3),"Cotation après action incomplète",IF(AND(COUNTBLANK(U285:W285)=0,X285=""),"G', O', D' : entiers de 1 à 10",IF(AND(X285&lt;&gt;"",X285&gt;L285),"IPR après action plus élevé","OK")))))))))))))))))</f>
        <v/>
      </c>
      <c r="AC285" s="59" t="str">
        <f>IF(OR(AA285="En retard",AA285="Échéance proche",AA285="Dans les délais",AA285="Échéance manquante",AA285="Action à définir",AA285="À réévaluer"),IF(OR(plan_who="",P285=plan_who),IF(N(Q285)&gt;0,Q285,99999)*1000+ROW(),""),"")</f>
        <v/>
      </c>
      <c r="AD285" s="59" t="str">
        <f>IF(L285="","",L285*1000+1000-ROW())</f>
        <v/>
      </c>
      <c r="AE285" s="59" t="str">
        <f>IF(IF(AA285="En retard",1,IF(AA285="Action à définir",2,IF(AA285="Échéance manquante",3,IF(AA285="Échéance proche",4,IF(AA285="À réévaluer",5,0)))))=0,"",IF(AA285="En retard",1,IF(AA285="Action à définir",2,IF(AA285="Échéance manquante",3,IF(AA285="Échéance proche",4,IF(AA285="À réévaluer",5,0)))))*100000000+IF(N(Q285)&gt;0,Q285,99999)*1000+ROW())</f>
        <v/>
      </c>
      <c r="AF285" s="59" t="str">
        <f>IF(X285&lt;&gt;"",X285,L285)</f>
        <v/>
      </c>
      <c r="AG285" s="59" t="str">
        <f>IF(X285&lt;&gt;"",Y285,IF(L285&lt;&gt;"",M285,""))</f>
        <v/>
      </c>
      <c r="AH285" s="59" t="str">
        <f>IF(L285="","",IF(X285&lt;&gt;"",U285,F285))</f>
        <v/>
      </c>
      <c r="AI285" s="59" t="str">
        <f>IF(L285="","",IF(X285&lt;&gt;"",V285,H285))</f>
        <v/>
      </c>
    </row>
    <row r="286" ht="30" customHeight="1">
      <c r="A286" s="50" t="n"/>
      <c r="B286" s="51" t="n"/>
      <c r="C286" s="51" t="n"/>
      <c r="D286" s="51" t="n"/>
      <c r="E286" s="51" t="n"/>
      <c r="F286" s="52" t="n"/>
      <c r="G286" s="51" t="n"/>
      <c r="H286" s="52" t="n"/>
      <c r="I286" s="51" t="n"/>
      <c r="J286" s="51" t="n"/>
      <c r="K286" s="52" t="n"/>
      <c r="L286" s="53" t="str">
        <f>IF(AND(IF(ISNUMBER(F286),AND(F286&gt;=1,F286&lt;=10,F286=INT(F286)),FALSE),IF(ISNUMBER(H286),AND(H286&gt;=1,H286&lt;=10,H286=INT(H286)),FALSE),IF(ISNUMBER(K286),AND(K286&gt;=1,K286&lt;=10,K286=INT(K286)),FALSE)),F286*H286*K286,"")</f>
        <v/>
      </c>
      <c r="M286" s="54" t="str">
        <f>IF(L286="",IF(D286="","","À coter"),IF(OR(F286&gt;=p_gmin,L286&gt;=p_ipr_crit),"Critique",IF(L286&gt;=p_ipr_act,"Élevée",IF(L286&gt;=p_ipr_watch,"Moyenne","Faible"))))</f>
        <v/>
      </c>
      <c r="N286" s="54" t="str">
        <f>IF(OR(M286="",M286="À coter"),"",IF(OR(M286="Critique",M286="Élevée"),"Oui","Non"))</f>
        <v/>
      </c>
      <c r="O286" s="51" t="n"/>
      <c r="P286" s="51" t="n"/>
      <c r="Q286" s="55" t="n"/>
      <c r="R286" s="50" t="n"/>
      <c r="S286" s="55" t="n"/>
      <c r="T286" s="56" t="n"/>
      <c r="U286" s="52" t="n"/>
      <c r="V286" s="52" t="n"/>
      <c r="W286" s="52" t="n"/>
      <c r="X286" s="53" t="str">
        <f>IF(AND(L286&lt;&gt;"",IF(ISNUMBER(U286),AND(U286&gt;=1,U286&lt;=10,U286=INT(U286)),FALSE),IF(ISNUMBER(V286),AND(V286&gt;=1,V286&lt;=10,V286=INT(V286)),FALSE),IF(ISNUMBER(W286),AND(W286&gt;=1,W286&lt;=10,W286=INT(W286)),FALSE)),U286*V286*W286,"")</f>
        <v/>
      </c>
      <c r="Y286" s="54" t="str">
        <f>IF(X286="","",IF(OR(U286&gt;=p_gmin,X286&gt;=p_ipr_crit),"Critique",IF(X286&gt;=p_ipr_act,"Élevée",IF(X286&gt;=p_ipr_watch,"Moyenne","Faible"))))</f>
        <v/>
      </c>
      <c r="Z286" s="57" t="str">
        <f>IF(X286="","",(L286-X286)/L286)</f>
        <v/>
      </c>
      <c r="AA286" s="54" t="str">
        <f>IF(AND(D286="",O286=""),"",IF(O286="",IF(N286="Oui","Action à définir",IF(N286="Non","Sans action","")),IF(R286="Annulée","Annulée",IF(R286="Réalisée",IF(X286="","À réévaluer","Réalisée"),IF(N(Q286)=0,"Échéance manquante",IF(Q286&lt;p_today,"En retard",IF(Q286-p_today&lt;=p_alert,"Échéance proche","Dans les délais")))))))</f>
        <v/>
      </c>
      <c r="AB286" s="58" t="str">
        <f>IF(AND(A286="",B286="",D286="",F286="",H286="",K286="",O286=""),"",IF(D286="","Mode de défaillance manquant",IF(AND(A286&lt;&gt;"",COUNTIF(am_num,A286)&gt;1),"N° en double",IF(F286="","Gravité G manquante",IF(NOT(IF(ISNUMBER(F286),AND(F286&gt;=1,F286&lt;=10,F286=INT(F286)),FALSE)),"G : entier de 1 à 10",IF(H286="","Occurrence O manquante",IF(NOT(IF(ISNUMBER(H286),AND(H286&gt;=1,H286&lt;=10,H286=INT(H286)),FALSE)),"O : entier de 1 à 10",IF(K286="","Détection D manquante",IF(NOT(IF(ISNUMBER(K286),AND(K286&gt;=1,K286&lt;=10,K286=INT(K286)),FALSE)),"D : entier de 1 à 10",IF(G286="","Cause manquante",IF(AND(O286&lt;&gt;"",P286=""),"Responsable manquant",IF(AND(R286&lt;&gt;"",O286=""),"Statut sans action",IF(AND(R286="Réalisée",N(S286)=0),"Date de réalisation manquante",IF(AND(T286&lt;&gt;"",IF(ISNUMBER(T286),T286&lt;0,TRUE)),"Coût invalide",IF(AND(COUNTBLANK(U286:W286)&gt;0,COUNTBLANK(U286:W286)&lt;3),"Cotation après action incomplète",IF(AND(COUNTBLANK(U286:W286)=0,X286=""),"G', O', D' : entiers de 1 à 10",IF(AND(X286&lt;&gt;"",X286&gt;L286),"IPR après action plus élevé","OK")))))))))))))))))</f>
        <v/>
      </c>
      <c r="AC286" s="59" t="str">
        <f>IF(OR(AA286="En retard",AA286="Échéance proche",AA286="Dans les délais",AA286="Échéance manquante",AA286="Action à définir",AA286="À réévaluer"),IF(OR(plan_who="",P286=plan_who),IF(N(Q286)&gt;0,Q286,99999)*1000+ROW(),""),"")</f>
        <v/>
      </c>
      <c r="AD286" s="59" t="str">
        <f>IF(L286="","",L286*1000+1000-ROW())</f>
        <v/>
      </c>
      <c r="AE286" s="59" t="str">
        <f>IF(IF(AA286="En retard",1,IF(AA286="Action à définir",2,IF(AA286="Échéance manquante",3,IF(AA286="Échéance proche",4,IF(AA286="À réévaluer",5,0)))))=0,"",IF(AA286="En retard",1,IF(AA286="Action à définir",2,IF(AA286="Échéance manquante",3,IF(AA286="Échéance proche",4,IF(AA286="À réévaluer",5,0)))))*100000000+IF(N(Q286)&gt;0,Q286,99999)*1000+ROW())</f>
        <v/>
      </c>
      <c r="AF286" s="59" t="str">
        <f>IF(X286&lt;&gt;"",X286,L286)</f>
        <v/>
      </c>
      <c r="AG286" s="59" t="str">
        <f>IF(X286&lt;&gt;"",Y286,IF(L286&lt;&gt;"",M286,""))</f>
        <v/>
      </c>
      <c r="AH286" s="59" t="str">
        <f>IF(L286="","",IF(X286&lt;&gt;"",U286,F286))</f>
        <v/>
      </c>
      <c r="AI286" s="59" t="str">
        <f>IF(L286="","",IF(X286&lt;&gt;"",V286,H286))</f>
        <v/>
      </c>
    </row>
    <row r="287" ht="30" customHeight="1">
      <c r="A287" s="50" t="n"/>
      <c r="B287" s="51" t="n"/>
      <c r="C287" s="51" t="n"/>
      <c r="D287" s="51" t="n"/>
      <c r="E287" s="51" t="n"/>
      <c r="F287" s="52" t="n"/>
      <c r="G287" s="51" t="n"/>
      <c r="H287" s="52" t="n"/>
      <c r="I287" s="51" t="n"/>
      <c r="J287" s="51" t="n"/>
      <c r="K287" s="52" t="n"/>
      <c r="L287" s="53" t="str">
        <f>IF(AND(IF(ISNUMBER(F287),AND(F287&gt;=1,F287&lt;=10,F287=INT(F287)),FALSE),IF(ISNUMBER(H287),AND(H287&gt;=1,H287&lt;=10,H287=INT(H287)),FALSE),IF(ISNUMBER(K287),AND(K287&gt;=1,K287&lt;=10,K287=INT(K287)),FALSE)),F287*H287*K287,"")</f>
        <v/>
      </c>
      <c r="M287" s="54" t="str">
        <f>IF(L287="",IF(D287="","","À coter"),IF(OR(F287&gt;=p_gmin,L287&gt;=p_ipr_crit),"Critique",IF(L287&gt;=p_ipr_act,"Élevée",IF(L287&gt;=p_ipr_watch,"Moyenne","Faible"))))</f>
        <v/>
      </c>
      <c r="N287" s="54" t="str">
        <f>IF(OR(M287="",M287="À coter"),"",IF(OR(M287="Critique",M287="Élevée"),"Oui","Non"))</f>
        <v/>
      </c>
      <c r="O287" s="51" t="n"/>
      <c r="P287" s="51" t="n"/>
      <c r="Q287" s="55" t="n"/>
      <c r="R287" s="50" t="n"/>
      <c r="S287" s="55" t="n"/>
      <c r="T287" s="56" t="n"/>
      <c r="U287" s="52" t="n"/>
      <c r="V287" s="52" t="n"/>
      <c r="W287" s="52" t="n"/>
      <c r="X287" s="53" t="str">
        <f>IF(AND(L287&lt;&gt;"",IF(ISNUMBER(U287),AND(U287&gt;=1,U287&lt;=10,U287=INT(U287)),FALSE),IF(ISNUMBER(V287),AND(V287&gt;=1,V287&lt;=10,V287=INT(V287)),FALSE),IF(ISNUMBER(W287),AND(W287&gt;=1,W287&lt;=10,W287=INT(W287)),FALSE)),U287*V287*W287,"")</f>
        <v/>
      </c>
      <c r="Y287" s="54" t="str">
        <f>IF(X287="","",IF(OR(U287&gt;=p_gmin,X287&gt;=p_ipr_crit),"Critique",IF(X287&gt;=p_ipr_act,"Élevée",IF(X287&gt;=p_ipr_watch,"Moyenne","Faible"))))</f>
        <v/>
      </c>
      <c r="Z287" s="57" t="str">
        <f>IF(X287="","",(L287-X287)/L287)</f>
        <v/>
      </c>
      <c r="AA287" s="54" t="str">
        <f>IF(AND(D287="",O287=""),"",IF(O287="",IF(N287="Oui","Action à définir",IF(N287="Non","Sans action","")),IF(R287="Annulée","Annulée",IF(R287="Réalisée",IF(X287="","À réévaluer","Réalisée"),IF(N(Q287)=0,"Échéance manquante",IF(Q287&lt;p_today,"En retard",IF(Q287-p_today&lt;=p_alert,"Échéance proche","Dans les délais")))))))</f>
        <v/>
      </c>
      <c r="AB287" s="58" t="str">
        <f>IF(AND(A287="",B287="",D287="",F287="",H287="",K287="",O287=""),"",IF(D287="","Mode de défaillance manquant",IF(AND(A287&lt;&gt;"",COUNTIF(am_num,A287)&gt;1),"N° en double",IF(F287="","Gravité G manquante",IF(NOT(IF(ISNUMBER(F287),AND(F287&gt;=1,F287&lt;=10,F287=INT(F287)),FALSE)),"G : entier de 1 à 10",IF(H287="","Occurrence O manquante",IF(NOT(IF(ISNUMBER(H287),AND(H287&gt;=1,H287&lt;=10,H287=INT(H287)),FALSE)),"O : entier de 1 à 10",IF(K287="","Détection D manquante",IF(NOT(IF(ISNUMBER(K287),AND(K287&gt;=1,K287&lt;=10,K287=INT(K287)),FALSE)),"D : entier de 1 à 10",IF(G287="","Cause manquante",IF(AND(O287&lt;&gt;"",P287=""),"Responsable manquant",IF(AND(R287&lt;&gt;"",O287=""),"Statut sans action",IF(AND(R287="Réalisée",N(S287)=0),"Date de réalisation manquante",IF(AND(T287&lt;&gt;"",IF(ISNUMBER(T287),T287&lt;0,TRUE)),"Coût invalide",IF(AND(COUNTBLANK(U287:W287)&gt;0,COUNTBLANK(U287:W287)&lt;3),"Cotation après action incomplète",IF(AND(COUNTBLANK(U287:W287)=0,X287=""),"G', O', D' : entiers de 1 à 10",IF(AND(X287&lt;&gt;"",X287&gt;L287),"IPR après action plus élevé","OK")))))))))))))))))</f>
        <v/>
      </c>
      <c r="AC287" s="59" t="str">
        <f>IF(OR(AA287="En retard",AA287="Échéance proche",AA287="Dans les délais",AA287="Échéance manquante",AA287="Action à définir",AA287="À réévaluer"),IF(OR(plan_who="",P287=plan_who),IF(N(Q287)&gt;0,Q287,99999)*1000+ROW(),""),"")</f>
        <v/>
      </c>
      <c r="AD287" s="59" t="str">
        <f>IF(L287="","",L287*1000+1000-ROW())</f>
        <v/>
      </c>
      <c r="AE287" s="59" t="str">
        <f>IF(IF(AA287="En retard",1,IF(AA287="Action à définir",2,IF(AA287="Échéance manquante",3,IF(AA287="Échéance proche",4,IF(AA287="À réévaluer",5,0)))))=0,"",IF(AA287="En retard",1,IF(AA287="Action à définir",2,IF(AA287="Échéance manquante",3,IF(AA287="Échéance proche",4,IF(AA287="À réévaluer",5,0)))))*100000000+IF(N(Q287)&gt;0,Q287,99999)*1000+ROW())</f>
        <v/>
      </c>
      <c r="AF287" s="59" t="str">
        <f>IF(X287&lt;&gt;"",X287,L287)</f>
        <v/>
      </c>
      <c r="AG287" s="59" t="str">
        <f>IF(X287&lt;&gt;"",Y287,IF(L287&lt;&gt;"",M287,""))</f>
        <v/>
      </c>
      <c r="AH287" s="59" t="str">
        <f>IF(L287="","",IF(X287&lt;&gt;"",U287,F287))</f>
        <v/>
      </c>
      <c r="AI287" s="59" t="str">
        <f>IF(L287="","",IF(X287&lt;&gt;"",V287,H287))</f>
        <v/>
      </c>
    </row>
    <row r="288" ht="30" customHeight="1">
      <c r="A288" s="50" t="n"/>
      <c r="B288" s="51" t="n"/>
      <c r="C288" s="51" t="n"/>
      <c r="D288" s="51" t="n"/>
      <c r="E288" s="51" t="n"/>
      <c r="F288" s="52" t="n"/>
      <c r="G288" s="51" t="n"/>
      <c r="H288" s="52" t="n"/>
      <c r="I288" s="51" t="n"/>
      <c r="J288" s="51" t="n"/>
      <c r="K288" s="52" t="n"/>
      <c r="L288" s="53" t="str">
        <f>IF(AND(IF(ISNUMBER(F288),AND(F288&gt;=1,F288&lt;=10,F288=INT(F288)),FALSE),IF(ISNUMBER(H288),AND(H288&gt;=1,H288&lt;=10,H288=INT(H288)),FALSE),IF(ISNUMBER(K288),AND(K288&gt;=1,K288&lt;=10,K288=INT(K288)),FALSE)),F288*H288*K288,"")</f>
        <v/>
      </c>
      <c r="M288" s="54" t="str">
        <f>IF(L288="",IF(D288="","","À coter"),IF(OR(F288&gt;=p_gmin,L288&gt;=p_ipr_crit),"Critique",IF(L288&gt;=p_ipr_act,"Élevée",IF(L288&gt;=p_ipr_watch,"Moyenne","Faible"))))</f>
        <v/>
      </c>
      <c r="N288" s="54" t="str">
        <f>IF(OR(M288="",M288="À coter"),"",IF(OR(M288="Critique",M288="Élevée"),"Oui","Non"))</f>
        <v/>
      </c>
      <c r="O288" s="51" t="n"/>
      <c r="P288" s="51" t="n"/>
      <c r="Q288" s="55" t="n"/>
      <c r="R288" s="50" t="n"/>
      <c r="S288" s="55" t="n"/>
      <c r="T288" s="56" t="n"/>
      <c r="U288" s="52" t="n"/>
      <c r="V288" s="52" t="n"/>
      <c r="W288" s="52" t="n"/>
      <c r="X288" s="53" t="str">
        <f>IF(AND(L288&lt;&gt;"",IF(ISNUMBER(U288),AND(U288&gt;=1,U288&lt;=10,U288=INT(U288)),FALSE),IF(ISNUMBER(V288),AND(V288&gt;=1,V288&lt;=10,V288=INT(V288)),FALSE),IF(ISNUMBER(W288),AND(W288&gt;=1,W288&lt;=10,W288=INT(W288)),FALSE)),U288*V288*W288,"")</f>
        <v/>
      </c>
      <c r="Y288" s="54" t="str">
        <f>IF(X288="","",IF(OR(U288&gt;=p_gmin,X288&gt;=p_ipr_crit),"Critique",IF(X288&gt;=p_ipr_act,"Élevée",IF(X288&gt;=p_ipr_watch,"Moyenne","Faible"))))</f>
        <v/>
      </c>
      <c r="Z288" s="57" t="str">
        <f>IF(X288="","",(L288-X288)/L288)</f>
        <v/>
      </c>
      <c r="AA288" s="54" t="str">
        <f>IF(AND(D288="",O288=""),"",IF(O288="",IF(N288="Oui","Action à définir",IF(N288="Non","Sans action","")),IF(R288="Annulée","Annulée",IF(R288="Réalisée",IF(X288="","À réévaluer","Réalisée"),IF(N(Q288)=0,"Échéance manquante",IF(Q288&lt;p_today,"En retard",IF(Q288-p_today&lt;=p_alert,"Échéance proche","Dans les délais")))))))</f>
        <v/>
      </c>
      <c r="AB288" s="58" t="str">
        <f>IF(AND(A288="",B288="",D288="",F288="",H288="",K288="",O288=""),"",IF(D288="","Mode de défaillance manquant",IF(AND(A288&lt;&gt;"",COUNTIF(am_num,A288)&gt;1),"N° en double",IF(F288="","Gravité G manquante",IF(NOT(IF(ISNUMBER(F288),AND(F288&gt;=1,F288&lt;=10,F288=INT(F288)),FALSE)),"G : entier de 1 à 10",IF(H288="","Occurrence O manquante",IF(NOT(IF(ISNUMBER(H288),AND(H288&gt;=1,H288&lt;=10,H288=INT(H288)),FALSE)),"O : entier de 1 à 10",IF(K288="","Détection D manquante",IF(NOT(IF(ISNUMBER(K288),AND(K288&gt;=1,K288&lt;=10,K288=INT(K288)),FALSE)),"D : entier de 1 à 10",IF(G288="","Cause manquante",IF(AND(O288&lt;&gt;"",P288=""),"Responsable manquant",IF(AND(R288&lt;&gt;"",O288=""),"Statut sans action",IF(AND(R288="Réalisée",N(S288)=0),"Date de réalisation manquante",IF(AND(T288&lt;&gt;"",IF(ISNUMBER(T288),T288&lt;0,TRUE)),"Coût invalide",IF(AND(COUNTBLANK(U288:W288)&gt;0,COUNTBLANK(U288:W288)&lt;3),"Cotation après action incomplète",IF(AND(COUNTBLANK(U288:W288)=0,X288=""),"G', O', D' : entiers de 1 à 10",IF(AND(X288&lt;&gt;"",X288&gt;L288),"IPR après action plus élevé","OK")))))))))))))))))</f>
        <v/>
      </c>
      <c r="AC288" s="59" t="str">
        <f>IF(OR(AA288="En retard",AA288="Échéance proche",AA288="Dans les délais",AA288="Échéance manquante",AA288="Action à définir",AA288="À réévaluer"),IF(OR(plan_who="",P288=plan_who),IF(N(Q288)&gt;0,Q288,99999)*1000+ROW(),""),"")</f>
        <v/>
      </c>
      <c r="AD288" s="59" t="str">
        <f>IF(L288="","",L288*1000+1000-ROW())</f>
        <v/>
      </c>
      <c r="AE288" s="59" t="str">
        <f>IF(IF(AA288="En retard",1,IF(AA288="Action à définir",2,IF(AA288="Échéance manquante",3,IF(AA288="Échéance proche",4,IF(AA288="À réévaluer",5,0)))))=0,"",IF(AA288="En retard",1,IF(AA288="Action à définir",2,IF(AA288="Échéance manquante",3,IF(AA288="Échéance proche",4,IF(AA288="À réévaluer",5,0)))))*100000000+IF(N(Q288)&gt;0,Q288,99999)*1000+ROW())</f>
        <v/>
      </c>
      <c r="AF288" s="59" t="str">
        <f>IF(X288&lt;&gt;"",X288,L288)</f>
        <v/>
      </c>
      <c r="AG288" s="59" t="str">
        <f>IF(X288&lt;&gt;"",Y288,IF(L288&lt;&gt;"",M288,""))</f>
        <v/>
      </c>
      <c r="AH288" s="59" t="str">
        <f>IF(L288="","",IF(X288&lt;&gt;"",U288,F288))</f>
        <v/>
      </c>
      <c r="AI288" s="59" t="str">
        <f>IF(L288="","",IF(X288&lt;&gt;"",V288,H288))</f>
        <v/>
      </c>
    </row>
    <row r="289" ht="30" customHeight="1">
      <c r="A289" s="50" t="n"/>
      <c r="B289" s="51" t="n"/>
      <c r="C289" s="51" t="n"/>
      <c r="D289" s="51" t="n"/>
      <c r="E289" s="51" t="n"/>
      <c r="F289" s="52" t="n"/>
      <c r="G289" s="51" t="n"/>
      <c r="H289" s="52" t="n"/>
      <c r="I289" s="51" t="n"/>
      <c r="J289" s="51" t="n"/>
      <c r="K289" s="52" t="n"/>
      <c r="L289" s="53" t="str">
        <f>IF(AND(IF(ISNUMBER(F289),AND(F289&gt;=1,F289&lt;=10,F289=INT(F289)),FALSE),IF(ISNUMBER(H289),AND(H289&gt;=1,H289&lt;=10,H289=INT(H289)),FALSE),IF(ISNUMBER(K289),AND(K289&gt;=1,K289&lt;=10,K289=INT(K289)),FALSE)),F289*H289*K289,"")</f>
        <v/>
      </c>
      <c r="M289" s="54" t="str">
        <f>IF(L289="",IF(D289="","","À coter"),IF(OR(F289&gt;=p_gmin,L289&gt;=p_ipr_crit),"Critique",IF(L289&gt;=p_ipr_act,"Élevée",IF(L289&gt;=p_ipr_watch,"Moyenne","Faible"))))</f>
        <v/>
      </c>
      <c r="N289" s="54" t="str">
        <f>IF(OR(M289="",M289="À coter"),"",IF(OR(M289="Critique",M289="Élevée"),"Oui","Non"))</f>
        <v/>
      </c>
      <c r="O289" s="51" t="n"/>
      <c r="P289" s="51" t="n"/>
      <c r="Q289" s="55" t="n"/>
      <c r="R289" s="50" t="n"/>
      <c r="S289" s="55" t="n"/>
      <c r="T289" s="56" t="n"/>
      <c r="U289" s="52" t="n"/>
      <c r="V289" s="52" t="n"/>
      <c r="W289" s="52" t="n"/>
      <c r="X289" s="53" t="str">
        <f>IF(AND(L289&lt;&gt;"",IF(ISNUMBER(U289),AND(U289&gt;=1,U289&lt;=10,U289=INT(U289)),FALSE),IF(ISNUMBER(V289),AND(V289&gt;=1,V289&lt;=10,V289=INT(V289)),FALSE),IF(ISNUMBER(W289),AND(W289&gt;=1,W289&lt;=10,W289=INT(W289)),FALSE)),U289*V289*W289,"")</f>
        <v/>
      </c>
      <c r="Y289" s="54" t="str">
        <f>IF(X289="","",IF(OR(U289&gt;=p_gmin,X289&gt;=p_ipr_crit),"Critique",IF(X289&gt;=p_ipr_act,"Élevée",IF(X289&gt;=p_ipr_watch,"Moyenne","Faible"))))</f>
        <v/>
      </c>
      <c r="Z289" s="57" t="str">
        <f>IF(X289="","",(L289-X289)/L289)</f>
        <v/>
      </c>
      <c r="AA289" s="54" t="str">
        <f>IF(AND(D289="",O289=""),"",IF(O289="",IF(N289="Oui","Action à définir",IF(N289="Non","Sans action","")),IF(R289="Annulée","Annulée",IF(R289="Réalisée",IF(X289="","À réévaluer","Réalisée"),IF(N(Q289)=0,"Échéance manquante",IF(Q289&lt;p_today,"En retard",IF(Q289-p_today&lt;=p_alert,"Échéance proche","Dans les délais")))))))</f>
        <v/>
      </c>
      <c r="AB289" s="58" t="str">
        <f>IF(AND(A289="",B289="",D289="",F289="",H289="",K289="",O289=""),"",IF(D289="","Mode de défaillance manquant",IF(AND(A289&lt;&gt;"",COUNTIF(am_num,A289)&gt;1),"N° en double",IF(F289="","Gravité G manquante",IF(NOT(IF(ISNUMBER(F289),AND(F289&gt;=1,F289&lt;=10,F289=INT(F289)),FALSE)),"G : entier de 1 à 10",IF(H289="","Occurrence O manquante",IF(NOT(IF(ISNUMBER(H289),AND(H289&gt;=1,H289&lt;=10,H289=INT(H289)),FALSE)),"O : entier de 1 à 10",IF(K289="","Détection D manquante",IF(NOT(IF(ISNUMBER(K289),AND(K289&gt;=1,K289&lt;=10,K289=INT(K289)),FALSE)),"D : entier de 1 à 10",IF(G289="","Cause manquante",IF(AND(O289&lt;&gt;"",P289=""),"Responsable manquant",IF(AND(R289&lt;&gt;"",O289=""),"Statut sans action",IF(AND(R289="Réalisée",N(S289)=0),"Date de réalisation manquante",IF(AND(T289&lt;&gt;"",IF(ISNUMBER(T289),T289&lt;0,TRUE)),"Coût invalide",IF(AND(COUNTBLANK(U289:W289)&gt;0,COUNTBLANK(U289:W289)&lt;3),"Cotation après action incomplète",IF(AND(COUNTBLANK(U289:W289)=0,X289=""),"G', O', D' : entiers de 1 à 10",IF(AND(X289&lt;&gt;"",X289&gt;L289),"IPR après action plus élevé","OK")))))))))))))))))</f>
        <v/>
      </c>
      <c r="AC289" s="59" t="str">
        <f>IF(OR(AA289="En retard",AA289="Échéance proche",AA289="Dans les délais",AA289="Échéance manquante",AA289="Action à définir",AA289="À réévaluer"),IF(OR(plan_who="",P289=plan_who),IF(N(Q289)&gt;0,Q289,99999)*1000+ROW(),""),"")</f>
        <v/>
      </c>
      <c r="AD289" s="59" t="str">
        <f>IF(L289="","",L289*1000+1000-ROW())</f>
        <v/>
      </c>
      <c r="AE289" s="59" t="str">
        <f>IF(IF(AA289="En retard",1,IF(AA289="Action à définir",2,IF(AA289="Échéance manquante",3,IF(AA289="Échéance proche",4,IF(AA289="À réévaluer",5,0)))))=0,"",IF(AA289="En retard",1,IF(AA289="Action à définir",2,IF(AA289="Échéance manquante",3,IF(AA289="Échéance proche",4,IF(AA289="À réévaluer",5,0)))))*100000000+IF(N(Q289)&gt;0,Q289,99999)*1000+ROW())</f>
        <v/>
      </c>
      <c r="AF289" s="59" t="str">
        <f>IF(X289&lt;&gt;"",X289,L289)</f>
        <v/>
      </c>
      <c r="AG289" s="59" t="str">
        <f>IF(X289&lt;&gt;"",Y289,IF(L289&lt;&gt;"",M289,""))</f>
        <v/>
      </c>
      <c r="AH289" s="59" t="str">
        <f>IF(L289="","",IF(X289&lt;&gt;"",U289,F289))</f>
        <v/>
      </c>
      <c r="AI289" s="59" t="str">
        <f>IF(L289="","",IF(X289&lt;&gt;"",V289,H289))</f>
        <v/>
      </c>
    </row>
    <row r="290" ht="30" customHeight="1">
      <c r="A290" s="50" t="n"/>
      <c r="B290" s="51" t="n"/>
      <c r="C290" s="51" t="n"/>
      <c r="D290" s="51" t="n"/>
      <c r="E290" s="51" t="n"/>
      <c r="F290" s="52" t="n"/>
      <c r="G290" s="51" t="n"/>
      <c r="H290" s="52" t="n"/>
      <c r="I290" s="51" t="n"/>
      <c r="J290" s="51" t="n"/>
      <c r="K290" s="52" t="n"/>
      <c r="L290" s="53" t="str">
        <f>IF(AND(IF(ISNUMBER(F290),AND(F290&gt;=1,F290&lt;=10,F290=INT(F290)),FALSE),IF(ISNUMBER(H290),AND(H290&gt;=1,H290&lt;=10,H290=INT(H290)),FALSE),IF(ISNUMBER(K290),AND(K290&gt;=1,K290&lt;=10,K290=INT(K290)),FALSE)),F290*H290*K290,"")</f>
        <v/>
      </c>
      <c r="M290" s="54" t="str">
        <f>IF(L290="",IF(D290="","","À coter"),IF(OR(F290&gt;=p_gmin,L290&gt;=p_ipr_crit),"Critique",IF(L290&gt;=p_ipr_act,"Élevée",IF(L290&gt;=p_ipr_watch,"Moyenne","Faible"))))</f>
        <v/>
      </c>
      <c r="N290" s="54" t="str">
        <f>IF(OR(M290="",M290="À coter"),"",IF(OR(M290="Critique",M290="Élevée"),"Oui","Non"))</f>
        <v/>
      </c>
      <c r="O290" s="51" t="n"/>
      <c r="P290" s="51" t="n"/>
      <c r="Q290" s="55" t="n"/>
      <c r="R290" s="50" t="n"/>
      <c r="S290" s="55" t="n"/>
      <c r="T290" s="56" t="n"/>
      <c r="U290" s="52" t="n"/>
      <c r="V290" s="52" t="n"/>
      <c r="W290" s="52" t="n"/>
      <c r="X290" s="53" t="str">
        <f>IF(AND(L290&lt;&gt;"",IF(ISNUMBER(U290),AND(U290&gt;=1,U290&lt;=10,U290=INT(U290)),FALSE),IF(ISNUMBER(V290),AND(V290&gt;=1,V290&lt;=10,V290=INT(V290)),FALSE),IF(ISNUMBER(W290),AND(W290&gt;=1,W290&lt;=10,W290=INT(W290)),FALSE)),U290*V290*W290,"")</f>
        <v/>
      </c>
      <c r="Y290" s="54" t="str">
        <f>IF(X290="","",IF(OR(U290&gt;=p_gmin,X290&gt;=p_ipr_crit),"Critique",IF(X290&gt;=p_ipr_act,"Élevée",IF(X290&gt;=p_ipr_watch,"Moyenne","Faible"))))</f>
        <v/>
      </c>
      <c r="Z290" s="57" t="str">
        <f>IF(X290="","",(L290-X290)/L290)</f>
        <v/>
      </c>
      <c r="AA290" s="54" t="str">
        <f>IF(AND(D290="",O290=""),"",IF(O290="",IF(N290="Oui","Action à définir",IF(N290="Non","Sans action","")),IF(R290="Annulée","Annulée",IF(R290="Réalisée",IF(X290="","À réévaluer","Réalisée"),IF(N(Q290)=0,"Échéance manquante",IF(Q290&lt;p_today,"En retard",IF(Q290-p_today&lt;=p_alert,"Échéance proche","Dans les délais")))))))</f>
        <v/>
      </c>
      <c r="AB290" s="58" t="str">
        <f>IF(AND(A290="",B290="",D290="",F290="",H290="",K290="",O290=""),"",IF(D290="","Mode de défaillance manquant",IF(AND(A290&lt;&gt;"",COUNTIF(am_num,A290)&gt;1),"N° en double",IF(F290="","Gravité G manquante",IF(NOT(IF(ISNUMBER(F290),AND(F290&gt;=1,F290&lt;=10,F290=INT(F290)),FALSE)),"G : entier de 1 à 10",IF(H290="","Occurrence O manquante",IF(NOT(IF(ISNUMBER(H290),AND(H290&gt;=1,H290&lt;=10,H290=INT(H290)),FALSE)),"O : entier de 1 à 10",IF(K290="","Détection D manquante",IF(NOT(IF(ISNUMBER(K290),AND(K290&gt;=1,K290&lt;=10,K290=INT(K290)),FALSE)),"D : entier de 1 à 10",IF(G290="","Cause manquante",IF(AND(O290&lt;&gt;"",P290=""),"Responsable manquant",IF(AND(R290&lt;&gt;"",O290=""),"Statut sans action",IF(AND(R290="Réalisée",N(S290)=0),"Date de réalisation manquante",IF(AND(T290&lt;&gt;"",IF(ISNUMBER(T290),T290&lt;0,TRUE)),"Coût invalide",IF(AND(COUNTBLANK(U290:W290)&gt;0,COUNTBLANK(U290:W290)&lt;3),"Cotation après action incomplète",IF(AND(COUNTBLANK(U290:W290)=0,X290=""),"G', O', D' : entiers de 1 à 10",IF(AND(X290&lt;&gt;"",X290&gt;L290),"IPR après action plus élevé","OK")))))))))))))))))</f>
        <v/>
      </c>
      <c r="AC290" s="59" t="str">
        <f>IF(OR(AA290="En retard",AA290="Échéance proche",AA290="Dans les délais",AA290="Échéance manquante",AA290="Action à définir",AA290="À réévaluer"),IF(OR(plan_who="",P290=plan_who),IF(N(Q290)&gt;0,Q290,99999)*1000+ROW(),""),"")</f>
        <v/>
      </c>
      <c r="AD290" s="59" t="str">
        <f>IF(L290="","",L290*1000+1000-ROW())</f>
        <v/>
      </c>
      <c r="AE290" s="59" t="str">
        <f>IF(IF(AA290="En retard",1,IF(AA290="Action à définir",2,IF(AA290="Échéance manquante",3,IF(AA290="Échéance proche",4,IF(AA290="À réévaluer",5,0)))))=0,"",IF(AA290="En retard",1,IF(AA290="Action à définir",2,IF(AA290="Échéance manquante",3,IF(AA290="Échéance proche",4,IF(AA290="À réévaluer",5,0)))))*100000000+IF(N(Q290)&gt;0,Q290,99999)*1000+ROW())</f>
        <v/>
      </c>
      <c r="AF290" s="59" t="str">
        <f>IF(X290&lt;&gt;"",X290,L290)</f>
        <v/>
      </c>
      <c r="AG290" s="59" t="str">
        <f>IF(X290&lt;&gt;"",Y290,IF(L290&lt;&gt;"",M290,""))</f>
        <v/>
      </c>
      <c r="AH290" s="59" t="str">
        <f>IF(L290="","",IF(X290&lt;&gt;"",U290,F290))</f>
        <v/>
      </c>
      <c r="AI290" s="59" t="str">
        <f>IF(L290="","",IF(X290&lt;&gt;"",V290,H290))</f>
        <v/>
      </c>
    </row>
    <row r="291" ht="30" customHeight="1">
      <c r="A291" s="50" t="n"/>
      <c r="B291" s="51" t="n"/>
      <c r="C291" s="51" t="n"/>
      <c r="D291" s="51" t="n"/>
      <c r="E291" s="51" t="n"/>
      <c r="F291" s="52" t="n"/>
      <c r="G291" s="51" t="n"/>
      <c r="H291" s="52" t="n"/>
      <c r="I291" s="51" t="n"/>
      <c r="J291" s="51" t="n"/>
      <c r="K291" s="52" t="n"/>
      <c r="L291" s="53" t="str">
        <f>IF(AND(IF(ISNUMBER(F291),AND(F291&gt;=1,F291&lt;=10,F291=INT(F291)),FALSE),IF(ISNUMBER(H291),AND(H291&gt;=1,H291&lt;=10,H291=INT(H291)),FALSE),IF(ISNUMBER(K291),AND(K291&gt;=1,K291&lt;=10,K291=INT(K291)),FALSE)),F291*H291*K291,"")</f>
        <v/>
      </c>
      <c r="M291" s="54" t="str">
        <f>IF(L291="",IF(D291="","","À coter"),IF(OR(F291&gt;=p_gmin,L291&gt;=p_ipr_crit),"Critique",IF(L291&gt;=p_ipr_act,"Élevée",IF(L291&gt;=p_ipr_watch,"Moyenne","Faible"))))</f>
        <v/>
      </c>
      <c r="N291" s="54" t="str">
        <f>IF(OR(M291="",M291="À coter"),"",IF(OR(M291="Critique",M291="Élevée"),"Oui","Non"))</f>
        <v/>
      </c>
      <c r="O291" s="51" t="n"/>
      <c r="P291" s="51" t="n"/>
      <c r="Q291" s="55" t="n"/>
      <c r="R291" s="50" t="n"/>
      <c r="S291" s="55" t="n"/>
      <c r="T291" s="56" t="n"/>
      <c r="U291" s="52" t="n"/>
      <c r="V291" s="52" t="n"/>
      <c r="W291" s="52" t="n"/>
      <c r="X291" s="53" t="str">
        <f>IF(AND(L291&lt;&gt;"",IF(ISNUMBER(U291),AND(U291&gt;=1,U291&lt;=10,U291=INT(U291)),FALSE),IF(ISNUMBER(V291),AND(V291&gt;=1,V291&lt;=10,V291=INT(V291)),FALSE),IF(ISNUMBER(W291),AND(W291&gt;=1,W291&lt;=10,W291=INT(W291)),FALSE)),U291*V291*W291,"")</f>
        <v/>
      </c>
      <c r="Y291" s="54" t="str">
        <f>IF(X291="","",IF(OR(U291&gt;=p_gmin,X291&gt;=p_ipr_crit),"Critique",IF(X291&gt;=p_ipr_act,"Élevée",IF(X291&gt;=p_ipr_watch,"Moyenne","Faible"))))</f>
        <v/>
      </c>
      <c r="Z291" s="57" t="str">
        <f>IF(X291="","",(L291-X291)/L291)</f>
        <v/>
      </c>
      <c r="AA291" s="54" t="str">
        <f>IF(AND(D291="",O291=""),"",IF(O291="",IF(N291="Oui","Action à définir",IF(N291="Non","Sans action","")),IF(R291="Annulée","Annulée",IF(R291="Réalisée",IF(X291="","À réévaluer","Réalisée"),IF(N(Q291)=0,"Échéance manquante",IF(Q291&lt;p_today,"En retard",IF(Q291-p_today&lt;=p_alert,"Échéance proche","Dans les délais")))))))</f>
        <v/>
      </c>
      <c r="AB291" s="58" t="str">
        <f>IF(AND(A291="",B291="",D291="",F291="",H291="",K291="",O291=""),"",IF(D291="","Mode de défaillance manquant",IF(AND(A291&lt;&gt;"",COUNTIF(am_num,A291)&gt;1),"N° en double",IF(F291="","Gravité G manquante",IF(NOT(IF(ISNUMBER(F291),AND(F291&gt;=1,F291&lt;=10,F291=INT(F291)),FALSE)),"G : entier de 1 à 10",IF(H291="","Occurrence O manquante",IF(NOT(IF(ISNUMBER(H291),AND(H291&gt;=1,H291&lt;=10,H291=INT(H291)),FALSE)),"O : entier de 1 à 10",IF(K291="","Détection D manquante",IF(NOT(IF(ISNUMBER(K291),AND(K291&gt;=1,K291&lt;=10,K291=INT(K291)),FALSE)),"D : entier de 1 à 10",IF(G291="","Cause manquante",IF(AND(O291&lt;&gt;"",P291=""),"Responsable manquant",IF(AND(R291&lt;&gt;"",O291=""),"Statut sans action",IF(AND(R291="Réalisée",N(S291)=0),"Date de réalisation manquante",IF(AND(T291&lt;&gt;"",IF(ISNUMBER(T291),T291&lt;0,TRUE)),"Coût invalide",IF(AND(COUNTBLANK(U291:W291)&gt;0,COUNTBLANK(U291:W291)&lt;3),"Cotation après action incomplète",IF(AND(COUNTBLANK(U291:W291)=0,X291=""),"G', O', D' : entiers de 1 à 10",IF(AND(X291&lt;&gt;"",X291&gt;L291),"IPR après action plus élevé","OK")))))))))))))))))</f>
        <v/>
      </c>
      <c r="AC291" s="59" t="str">
        <f>IF(OR(AA291="En retard",AA291="Échéance proche",AA291="Dans les délais",AA291="Échéance manquante",AA291="Action à définir",AA291="À réévaluer"),IF(OR(plan_who="",P291=plan_who),IF(N(Q291)&gt;0,Q291,99999)*1000+ROW(),""),"")</f>
        <v/>
      </c>
      <c r="AD291" s="59" t="str">
        <f>IF(L291="","",L291*1000+1000-ROW())</f>
        <v/>
      </c>
      <c r="AE291" s="59" t="str">
        <f>IF(IF(AA291="En retard",1,IF(AA291="Action à définir",2,IF(AA291="Échéance manquante",3,IF(AA291="Échéance proche",4,IF(AA291="À réévaluer",5,0)))))=0,"",IF(AA291="En retard",1,IF(AA291="Action à définir",2,IF(AA291="Échéance manquante",3,IF(AA291="Échéance proche",4,IF(AA291="À réévaluer",5,0)))))*100000000+IF(N(Q291)&gt;0,Q291,99999)*1000+ROW())</f>
        <v/>
      </c>
      <c r="AF291" s="59" t="str">
        <f>IF(X291&lt;&gt;"",X291,L291)</f>
        <v/>
      </c>
      <c r="AG291" s="59" t="str">
        <f>IF(X291&lt;&gt;"",Y291,IF(L291&lt;&gt;"",M291,""))</f>
        <v/>
      </c>
      <c r="AH291" s="59" t="str">
        <f>IF(L291="","",IF(X291&lt;&gt;"",U291,F291))</f>
        <v/>
      </c>
      <c r="AI291" s="59" t="str">
        <f>IF(L291="","",IF(X291&lt;&gt;"",V291,H291))</f>
        <v/>
      </c>
    </row>
    <row r="292" ht="30" customHeight="1">
      <c r="A292" s="50" t="n"/>
      <c r="B292" s="51" t="n"/>
      <c r="C292" s="51" t="n"/>
      <c r="D292" s="51" t="n"/>
      <c r="E292" s="51" t="n"/>
      <c r="F292" s="52" t="n"/>
      <c r="G292" s="51" t="n"/>
      <c r="H292" s="52" t="n"/>
      <c r="I292" s="51" t="n"/>
      <c r="J292" s="51" t="n"/>
      <c r="K292" s="52" t="n"/>
      <c r="L292" s="53" t="str">
        <f>IF(AND(IF(ISNUMBER(F292),AND(F292&gt;=1,F292&lt;=10,F292=INT(F292)),FALSE),IF(ISNUMBER(H292),AND(H292&gt;=1,H292&lt;=10,H292=INT(H292)),FALSE),IF(ISNUMBER(K292),AND(K292&gt;=1,K292&lt;=10,K292=INT(K292)),FALSE)),F292*H292*K292,"")</f>
        <v/>
      </c>
      <c r="M292" s="54" t="str">
        <f>IF(L292="",IF(D292="","","À coter"),IF(OR(F292&gt;=p_gmin,L292&gt;=p_ipr_crit),"Critique",IF(L292&gt;=p_ipr_act,"Élevée",IF(L292&gt;=p_ipr_watch,"Moyenne","Faible"))))</f>
        <v/>
      </c>
      <c r="N292" s="54" t="str">
        <f>IF(OR(M292="",M292="À coter"),"",IF(OR(M292="Critique",M292="Élevée"),"Oui","Non"))</f>
        <v/>
      </c>
      <c r="O292" s="51" t="n"/>
      <c r="P292" s="51" t="n"/>
      <c r="Q292" s="55" t="n"/>
      <c r="R292" s="50" t="n"/>
      <c r="S292" s="55" t="n"/>
      <c r="T292" s="56" t="n"/>
      <c r="U292" s="52" t="n"/>
      <c r="V292" s="52" t="n"/>
      <c r="W292" s="52" t="n"/>
      <c r="X292" s="53" t="str">
        <f>IF(AND(L292&lt;&gt;"",IF(ISNUMBER(U292),AND(U292&gt;=1,U292&lt;=10,U292=INT(U292)),FALSE),IF(ISNUMBER(V292),AND(V292&gt;=1,V292&lt;=10,V292=INT(V292)),FALSE),IF(ISNUMBER(W292),AND(W292&gt;=1,W292&lt;=10,W292=INT(W292)),FALSE)),U292*V292*W292,"")</f>
        <v/>
      </c>
      <c r="Y292" s="54" t="str">
        <f>IF(X292="","",IF(OR(U292&gt;=p_gmin,X292&gt;=p_ipr_crit),"Critique",IF(X292&gt;=p_ipr_act,"Élevée",IF(X292&gt;=p_ipr_watch,"Moyenne","Faible"))))</f>
        <v/>
      </c>
      <c r="Z292" s="57" t="str">
        <f>IF(X292="","",(L292-X292)/L292)</f>
        <v/>
      </c>
      <c r="AA292" s="54" t="str">
        <f>IF(AND(D292="",O292=""),"",IF(O292="",IF(N292="Oui","Action à définir",IF(N292="Non","Sans action","")),IF(R292="Annulée","Annulée",IF(R292="Réalisée",IF(X292="","À réévaluer","Réalisée"),IF(N(Q292)=0,"Échéance manquante",IF(Q292&lt;p_today,"En retard",IF(Q292-p_today&lt;=p_alert,"Échéance proche","Dans les délais")))))))</f>
        <v/>
      </c>
      <c r="AB292" s="58" t="str">
        <f>IF(AND(A292="",B292="",D292="",F292="",H292="",K292="",O292=""),"",IF(D292="","Mode de défaillance manquant",IF(AND(A292&lt;&gt;"",COUNTIF(am_num,A292)&gt;1),"N° en double",IF(F292="","Gravité G manquante",IF(NOT(IF(ISNUMBER(F292),AND(F292&gt;=1,F292&lt;=10,F292=INT(F292)),FALSE)),"G : entier de 1 à 10",IF(H292="","Occurrence O manquante",IF(NOT(IF(ISNUMBER(H292),AND(H292&gt;=1,H292&lt;=10,H292=INT(H292)),FALSE)),"O : entier de 1 à 10",IF(K292="","Détection D manquante",IF(NOT(IF(ISNUMBER(K292),AND(K292&gt;=1,K292&lt;=10,K292=INT(K292)),FALSE)),"D : entier de 1 à 10",IF(G292="","Cause manquante",IF(AND(O292&lt;&gt;"",P292=""),"Responsable manquant",IF(AND(R292&lt;&gt;"",O292=""),"Statut sans action",IF(AND(R292="Réalisée",N(S292)=0),"Date de réalisation manquante",IF(AND(T292&lt;&gt;"",IF(ISNUMBER(T292),T292&lt;0,TRUE)),"Coût invalide",IF(AND(COUNTBLANK(U292:W292)&gt;0,COUNTBLANK(U292:W292)&lt;3),"Cotation après action incomplète",IF(AND(COUNTBLANK(U292:W292)=0,X292=""),"G', O', D' : entiers de 1 à 10",IF(AND(X292&lt;&gt;"",X292&gt;L292),"IPR après action plus élevé","OK")))))))))))))))))</f>
        <v/>
      </c>
      <c r="AC292" s="59" t="str">
        <f>IF(OR(AA292="En retard",AA292="Échéance proche",AA292="Dans les délais",AA292="Échéance manquante",AA292="Action à définir",AA292="À réévaluer"),IF(OR(plan_who="",P292=plan_who),IF(N(Q292)&gt;0,Q292,99999)*1000+ROW(),""),"")</f>
        <v/>
      </c>
      <c r="AD292" s="59" t="str">
        <f>IF(L292="","",L292*1000+1000-ROW())</f>
        <v/>
      </c>
      <c r="AE292" s="59" t="str">
        <f>IF(IF(AA292="En retard",1,IF(AA292="Action à définir",2,IF(AA292="Échéance manquante",3,IF(AA292="Échéance proche",4,IF(AA292="À réévaluer",5,0)))))=0,"",IF(AA292="En retard",1,IF(AA292="Action à définir",2,IF(AA292="Échéance manquante",3,IF(AA292="Échéance proche",4,IF(AA292="À réévaluer",5,0)))))*100000000+IF(N(Q292)&gt;0,Q292,99999)*1000+ROW())</f>
        <v/>
      </c>
      <c r="AF292" s="59" t="str">
        <f>IF(X292&lt;&gt;"",X292,L292)</f>
        <v/>
      </c>
      <c r="AG292" s="59" t="str">
        <f>IF(X292&lt;&gt;"",Y292,IF(L292&lt;&gt;"",M292,""))</f>
        <v/>
      </c>
      <c r="AH292" s="59" t="str">
        <f>IF(L292="","",IF(X292&lt;&gt;"",U292,F292))</f>
        <v/>
      </c>
      <c r="AI292" s="59" t="str">
        <f>IF(L292="","",IF(X292&lt;&gt;"",V292,H292))</f>
        <v/>
      </c>
    </row>
    <row r="293" ht="30" customHeight="1">
      <c r="A293" s="50" t="n"/>
      <c r="B293" s="51" t="n"/>
      <c r="C293" s="51" t="n"/>
      <c r="D293" s="51" t="n"/>
      <c r="E293" s="51" t="n"/>
      <c r="F293" s="52" t="n"/>
      <c r="G293" s="51" t="n"/>
      <c r="H293" s="52" t="n"/>
      <c r="I293" s="51" t="n"/>
      <c r="J293" s="51" t="n"/>
      <c r="K293" s="52" t="n"/>
      <c r="L293" s="53" t="str">
        <f>IF(AND(IF(ISNUMBER(F293),AND(F293&gt;=1,F293&lt;=10,F293=INT(F293)),FALSE),IF(ISNUMBER(H293),AND(H293&gt;=1,H293&lt;=10,H293=INT(H293)),FALSE),IF(ISNUMBER(K293),AND(K293&gt;=1,K293&lt;=10,K293=INT(K293)),FALSE)),F293*H293*K293,"")</f>
        <v/>
      </c>
      <c r="M293" s="54" t="str">
        <f>IF(L293="",IF(D293="","","À coter"),IF(OR(F293&gt;=p_gmin,L293&gt;=p_ipr_crit),"Critique",IF(L293&gt;=p_ipr_act,"Élevée",IF(L293&gt;=p_ipr_watch,"Moyenne","Faible"))))</f>
        <v/>
      </c>
      <c r="N293" s="54" t="str">
        <f>IF(OR(M293="",M293="À coter"),"",IF(OR(M293="Critique",M293="Élevée"),"Oui","Non"))</f>
        <v/>
      </c>
      <c r="O293" s="51" t="n"/>
      <c r="P293" s="51" t="n"/>
      <c r="Q293" s="55" t="n"/>
      <c r="R293" s="50" t="n"/>
      <c r="S293" s="55" t="n"/>
      <c r="T293" s="56" t="n"/>
      <c r="U293" s="52" t="n"/>
      <c r="V293" s="52" t="n"/>
      <c r="W293" s="52" t="n"/>
      <c r="X293" s="53" t="str">
        <f>IF(AND(L293&lt;&gt;"",IF(ISNUMBER(U293),AND(U293&gt;=1,U293&lt;=10,U293=INT(U293)),FALSE),IF(ISNUMBER(V293),AND(V293&gt;=1,V293&lt;=10,V293=INT(V293)),FALSE),IF(ISNUMBER(W293),AND(W293&gt;=1,W293&lt;=10,W293=INT(W293)),FALSE)),U293*V293*W293,"")</f>
        <v/>
      </c>
      <c r="Y293" s="54" t="str">
        <f>IF(X293="","",IF(OR(U293&gt;=p_gmin,X293&gt;=p_ipr_crit),"Critique",IF(X293&gt;=p_ipr_act,"Élevée",IF(X293&gt;=p_ipr_watch,"Moyenne","Faible"))))</f>
        <v/>
      </c>
      <c r="Z293" s="57" t="str">
        <f>IF(X293="","",(L293-X293)/L293)</f>
        <v/>
      </c>
      <c r="AA293" s="54" t="str">
        <f>IF(AND(D293="",O293=""),"",IF(O293="",IF(N293="Oui","Action à définir",IF(N293="Non","Sans action","")),IF(R293="Annulée","Annulée",IF(R293="Réalisée",IF(X293="","À réévaluer","Réalisée"),IF(N(Q293)=0,"Échéance manquante",IF(Q293&lt;p_today,"En retard",IF(Q293-p_today&lt;=p_alert,"Échéance proche","Dans les délais")))))))</f>
        <v/>
      </c>
      <c r="AB293" s="58" t="str">
        <f>IF(AND(A293="",B293="",D293="",F293="",H293="",K293="",O293=""),"",IF(D293="","Mode de défaillance manquant",IF(AND(A293&lt;&gt;"",COUNTIF(am_num,A293)&gt;1),"N° en double",IF(F293="","Gravité G manquante",IF(NOT(IF(ISNUMBER(F293),AND(F293&gt;=1,F293&lt;=10,F293=INT(F293)),FALSE)),"G : entier de 1 à 10",IF(H293="","Occurrence O manquante",IF(NOT(IF(ISNUMBER(H293),AND(H293&gt;=1,H293&lt;=10,H293=INT(H293)),FALSE)),"O : entier de 1 à 10",IF(K293="","Détection D manquante",IF(NOT(IF(ISNUMBER(K293),AND(K293&gt;=1,K293&lt;=10,K293=INT(K293)),FALSE)),"D : entier de 1 à 10",IF(G293="","Cause manquante",IF(AND(O293&lt;&gt;"",P293=""),"Responsable manquant",IF(AND(R293&lt;&gt;"",O293=""),"Statut sans action",IF(AND(R293="Réalisée",N(S293)=0),"Date de réalisation manquante",IF(AND(T293&lt;&gt;"",IF(ISNUMBER(T293),T293&lt;0,TRUE)),"Coût invalide",IF(AND(COUNTBLANK(U293:W293)&gt;0,COUNTBLANK(U293:W293)&lt;3),"Cotation après action incomplète",IF(AND(COUNTBLANK(U293:W293)=0,X293=""),"G', O', D' : entiers de 1 à 10",IF(AND(X293&lt;&gt;"",X293&gt;L293),"IPR après action plus élevé","OK")))))))))))))))))</f>
        <v/>
      </c>
      <c r="AC293" s="59" t="str">
        <f>IF(OR(AA293="En retard",AA293="Échéance proche",AA293="Dans les délais",AA293="Échéance manquante",AA293="Action à définir",AA293="À réévaluer"),IF(OR(plan_who="",P293=plan_who),IF(N(Q293)&gt;0,Q293,99999)*1000+ROW(),""),"")</f>
        <v/>
      </c>
      <c r="AD293" s="59" t="str">
        <f>IF(L293="","",L293*1000+1000-ROW())</f>
        <v/>
      </c>
      <c r="AE293" s="59" t="str">
        <f>IF(IF(AA293="En retard",1,IF(AA293="Action à définir",2,IF(AA293="Échéance manquante",3,IF(AA293="Échéance proche",4,IF(AA293="À réévaluer",5,0)))))=0,"",IF(AA293="En retard",1,IF(AA293="Action à définir",2,IF(AA293="Échéance manquante",3,IF(AA293="Échéance proche",4,IF(AA293="À réévaluer",5,0)))))*100000000+IF(N(Q293)&gt;0,Q293,99999)*1000+ROW())</f>
        <v/>
      </c>
      <c r="AF293" s="59" t="str">
        <f>IF(X293&lt;&gt;"",X293,L293)</f>
        <v/>
      </c>
      <c r="AG293" s="59" t="str">
        <f>IF(X293&lt;&gt;"",Y293,IF(L293&lt;&gt;"",M293,""))</f>
        <v/>
      </c>
      <c r="AH293" s="59" t="str">
        <f>IF(L293="","",IF(X293&lt;&gt;"",U293,F293))</f>
        <v/>
      </c>
      <c r="AI293" s="59" t="str">
        <f>IF(L293="","",IF(X293&lt;&gt;"",V293,H293))</f>
        <v/>
      </c>
    </row>
    <row r="294" ht="30" customHeight="1">
      <c r="A294" s="50" t="n"/>
      <c r="B294" s="51" t="n"/>
      <c r="C294" s="51" t="n"/>
      <c r="D294" s="51" t="n"/>
      <c r="E294" s="51" t="n"/>
      <c r="F294" s="52" t="n"/>
      <c r="G294" s="51" t="n"/>
      <c r="H294" s="52" t="n"/>
      <c r="I294" s="51" t="n"/>
      <c r="J294" s="51" t="n"/>
      <c r="K294" s="52" t="n"/>
      <c r="L294" s="53" t="str">
        <f>IF(AND(IF(ISNUMBER(F294),AND(F294&gt;=1,F294&lt;=10,F294=INT(F294)),FALSE),IF(ISNUMBER(H294),AND(H294&gt;=1,H294&lt;=10,H294=INT(H294)),FALSE),IF(ISNUMBER(K294),AND(K294&gt;=1,K294&lt;=10,K294=INT(K294)),FALSE)),F294*H294*K294,"")</f>
        <v/>
      </c>
      <c r="M294" s="54" t="str">
        <f>IF(L294="",IF(D294="","","À coter"),IF(OR(F294&gt;=p_gmin,L294&gt;=p_ipr_crit),"Critique",IF(L294&gt;=p_ipr_act,"Élevée",IF(L294&gt;=p_ipr_watch,"Moyenne","Faible"))))</f>
        <v/>
      </c>
      <c r="N294" s="54" t="str">
        <f>IF(OR(M294="",M294="À coter"),"",IF(OR(M294="Critique",M294="Élevée"),"Oui","Non"))</f>
        <v/>
      </c>
      <c r="O294" s="51" t="n"/>
      <c r="P294" s="51" t="n"/>
      <c r="Q294" s="55" t="n"/>
      <c r="R294" s="50" t="n"/>
      <c r="S294" s="55" t="n"/>
      <c r="T294" s="56" t="n"/>
      <c r="U294" s="52" t="n"/>
      <c r="V294" s="52" t="n"/>
      <c r="W294" s="52" t="n"/>
      <c r="X294" s="53" t="str">
        <f>IF(AND(L294&lt;&gt;"",IF(ISNUMBER(U294),AND(U294&gt;=1,U294&lt;=10,U294=INT(U294)),FALSE),IF(ISNUMBER(V294),AND(V294&gt;=1,V294&lt;=10,V294=INT(V294)),FALSE),IF(ISNUMBER(W294),AND(W294&gt;=1,W294&lt;=10,W294=INT(W294)),FALSE)),U294*V294*W294,"")</f>
        <v/>
      </c>
      <c r="Y294" s="54" t="str">
        <f>IF(X294="","",IF(OR(U294&gt;=p_gmin,X294&gt;=p_ipr_crit),"Critique",IF(X294&gt;=p_ipr_act,"Élevée",IF(X294&gt;=p_ipr_watch,"Moyenne","Faible"))))</f>
        <v/>
      </c>
      <c r="Z294" s="57" t="str">
        <f>IF(X294="","",(L294-X294)/L294)</f>
        <v/>
      </c>
      <c r="AA294" s="54" t="str">
        <f>IF(AND(D294="",O294=""),"",IF(O294="",IF(N294="Oui","Action à définir",IF(N294="Non","Sans action","")),IF(R294="Annulée","Annulée",IF(R294="Réalisée",IF(X294="","À réévaluer","Réalisée"),IF(N(Q294)=0,"Échéance manquante",IF(Q294&lt;p_today,"En retard",IF(Q294-p_today&lt;=p_alert,"Échéance proche","Dans les délais")))))))</f>
        <v/>
      </c>
      <c r="AB294" s="58" t="str">
        <f>IF(AND(A294="",B294="",D294="",F294="",H294="",K294="",O294=""),"",IF(D294="","Mode de défaillance manquant",IF(AND(A294&lt;&gt;"",COUNTIF(am_num,A294)&gt;1),"N° en double",IF(F294="","Gravité G manquante",IF(NOT(IF(ISNUMBER(F294),AND(F294&gt;=1,F294&lt;=10,F294=INT(F294)),FALSE)),"G : entier de 1 à 10",IF(H294="","Occurrence O manquante",IF(NOT(IF(ISNUMBER(H294),AND(H294&gt;=1,H294&lt;=10,H294=INT(H294)),FALSE)),"O : entier de 1 à 10",IF(K294="","Détection D manquante",IF(NOT(IF(ISNUMBER(K294),AND(K294&gt;=1,K294&lt;=10,K294=INT(K294)),FALSE)),"D : entier de 1 à 10",IF(G294="","Cause manquante",IF(AND(O294&lt;&gt;"",P294=""),"Responsable manquant",IF(AND(R294&lt;&gt;"",O294=""),"Statut sans action",IF(AND(R294="Réalisée",N(S294)=0),"Date de réalisation manquante",IF(AND(T294&lt;&gt;"",IF(ISNUMBER(T294),T294&lt;0,TRUE)),"Coût invalide",IF(AND(COUNTBLANK(U294:W294)&gt;0,COUNTBLANK(U294:W294)&lt;3),"Cotation après action incomplète",IF(AND(COUNTBLANK(U294:W294)=0,X294=""),"G', O', D' : entiers de 1 à 10",IF(AND(X294&lt;&gt;"",X294&gt;L294),"IPR après action plus élevé","OK")))))))))))))))))</f>
        <v/>
      </c>
      <c r="AC294" s="59" t="str">
        <f>IF(OR(AA294="En retard",AA294="Échéance proche",AA294="Dans les délais",AA294="Échéance manquante",AA294="Action à définir",AA294="À réévaluer"),IF(OR(plan_who="",P294=plan_who),IF(N(Q294)&gt;0,Q294,99999)*1000+ROW(),""),"")</f>
        <v/>
      </c>
      <c r="AD294" s="59" t="str">
        <f>IF(L294="","",L294*1000+1000-ROW())</f>
        <v/>
      </c>
      <c r="AE294" s="59" t="str">
        <f>IF(IF(AA294="En retard",1,IF(AA294="Action à définir",2,IF(AA294="Échéance manquante",3,IF(AA294="Échéance proche",4,IF(AA294="À réévaluer",5,0)))))=0,"",IF(AA294="En retard",1,IF(AA294="Action à définir",2,IF(AA294="Échéance manquante",3,IF(AA294="Échéance proche",4,IF(AA294="À réévaluer",5,0)))))*100000000+IF(N(Q294)&gt;0,Q294,99999)*1000+ROW())</f>
        <v/>
      </c>
      <c r="AF294" s="59" t="str">
        <f>IF(X294&lt;&gt;"",X294,L294)</f>
        <v/>
      </c>
      <c r="AG294" s="59" t="str">
        <f>IF(X294&lt;&gt;"",Y294,IF(L294&lt;&gt;"",M294,""))</f>
        <v/>
      </c>
      <c r="AH294" s="59" t="str">
        <f>IF(L294="","",IF(X294&lt;&gt;"",U294,F294))</f>
        <v/>
      </c>
      <c r="AI294" s="59" t="str">
        <f>IF(L294="","",IF(X294&lt;&gt;"",V294,H294))</f>
        <v/>
      </c>
    </row>
    <row r="295" ht="30" customHeight="1">
      <c r="A295" s="50" t="n"/>
      <c r="B295" s="51" t="n"/>
      <c r="C295" s="51" t="n"/>
      <c r="D295" s="51" t="n"/>
      <c r="E295" s="51" t="n"/>
      <c r="F295" s="52" t="n"/>
      <c r="G295" s="51" t="n"/>
      <c r="H295" s="52" t="n"/>
      <c r="I295" s="51" t="n"/>
      <c r="J295" s="51" t="n"/>
      <c r="K295" s="52" t="n"/>
      <c r="L295" s="53" t="str">
        <f>IF(AND(IF(ISNUMBER(F295),AND(F295&gt;=1,F295&lt;=10,F295=INT(F295)),FALSE),IF(ISNUMBER(H295),AND(H295&gt;=1,H295&lt;=10,H295=INT(H295)),FALSE),IF(ISNUMBER(K295),AND(K295&gt;=1,K295&lt;=10,K295=INT(K295)),FALSE)),F295*H295*K295,"")</f>
        <v/>
      </c>
      <c r="M295" s="54" t="str">
        <f>IF(L295="",IF(D295="","","À coter"),IF(OR(F295&gt;=p_gmin,L295&gt;=p_ipr_crit),"Critique",IF(L295&gt;=p_ipr_act,"Élevée",IF(L295&gt;=p_ipr_watch,"Moyenne","Faible"))))</f>
        <v/>
      </c>
      <c r="N295" s="54" t="str">
        <f>IF(OR(M295="",M295="À coter"),"",IF(OR(M295="Critique",M295="Élevée"),"Oui","Non"))</f>
        <v/>
      </c>
      <c r="O295" s="51" t="n"/>
      <c r="P295" s="51" t="n"/>
      <c r="Q295" s="55" t="n"/>
      <c r="R295" s="50" t="n"/>
      <c r="S295" s="55" t="n"/>
      <c r="T295" s="56" t="n"/>
      <c r="U295" s="52" t="n"/>
      <c r="V295" s="52" t="n"/>
      <c r="W295" s="52" t="n"/>
      <c r="X295" s="53" t="str">
        <f>IF(AND(L295&lt;&gt;"",IF(ISNUMBER(U295),AND(U295&gt;=1,U295&lt;=10,U295=INT(U295)),FALSE),IF(ISNUMBER(V295),AND(V295&gt;=1,V295&lt;=10,V295=INT(V295)),FALSE),IF(ISNUMBER(W295),AND(W295&gt;=1,W295&lt;=10,W295=INT(W295)),FALSE)),U295*V295*W295,"")</f>
        <v/>
      </c>
      <c r="Y295" s="54" t="str">
        <f>IF(X295="","",IF(OR(U295&gt;=p_gmin,X295&gt;=p_ipr_crit),"Critique",IF(X295&gt;=p_ipr_act,"Élevée",IF(X295&gt;=p_ipr_watch,"Moyenne","Faible"))))</f>
        <v/>
      </c>
      <c r="Z295" s="57" t="str">
        <f>IF(X295="","",(L295-X295)/L295)</f>
        <v/>
      </c>
      <c r="AA295" s="54" t="str">
        <f>IF(AND(D295="",O295=""),"",IF(O295="",IF(N295="Oui","Action à définir",IF(N295="Non","Sans action","")),IF(R295="Annulée","Annulée",IF(R295="Réalisée",IF(X295="","À réévaluer","Réalisée"),IF(N(Q295)=0,"Échéance manquante",IF(Q295&lt;p_today,"En retard",IF(Q295-p_today&lt;=p_alert,"Échéance proche","Dans les délais")))))))</f>
        <v/>
      </c>
      <c r="AB295" s="58" t="str">
        <f>IF(AND(A295="",B295="",D295="",F295="",H295="",K295="",O295=""),"",IF(D295="","Mode de défaillance manquant",IF(AND(A295&lt;&gt;"",COUNTIF(am_num,A295)&gt;1),"N° en double",IF(F295="","Gravité G manquante",IF(NOT(IF(ISNUMBER(F295),AND(F295&gt;=1,F295&lt;=10,F295=INT(F295)),FALSE)),"G : entier de 1 à 10",IF(H295="","Occurrence O manquante",IF(NOT(IF(ISNUMBER(H295),AND(H295&gt;=1,H295&lt;=10,H295=INT(H295)),FALSE)),"O : entier de 1 à 10",IF(K295="","Détection D manquante",IF(NOT(IF(ISNUMBER(K295),AND(K295&gt;=1,K295&lt;=10,K295=INT(K295)),FALSE)),"D : entier de 1 à 10",IF(G295="","Cause manquante",IF(AND(O295&lt;&gt;"",P295=""),"Responsable manquant",IF(AND(R295&lt;&gt;"",O295=""),"Statut sans action",IF(AND(R295="Réalisée",N(S295)=0),"Date de réalisation manquante",IF(AND(T295&lt;&gt;"",IF(ISNUMBER(T295),T295&lt;0,TRUE)),"Coût invalide",IF(AND(COUNTBLANK(U295:W295)&gt;0,COUNTBLANK(U295:W295)&lt;3),"Cotation après action incomplète",IF(AND(COUNTBLANK(U295:W295)=0,X295=""),"G', O', D' : entiers de 1 à 10",IF(AND(X295&lt;&gt;"",X295&gt;L295),"IPR après action plus élevé","OK")))))))))))))))))</f>
        <v/>
      </c>
      <c r="AC295" s="59" t="str">
        <f>IF(OR(AA295="En retard",AA295="Échéance proche",AA295="Dans les délais",AA295="Échéance manquante",AA295="Action à définir",AA295="À réévaluer"),IF(OR(plan_who="",P295=plan_who),IF(N(Q295)&gt;0,Q295,99999)*1000+ROW(),""),"")</f>
        <v/>
      </c>
      <c r="AD295" s="59" t="str">
        <f>IF(L295="","",L295*1000+1000-ROW())</f>
        <v/>
      </c>
      <c r="AE295" s="59" t="str">
        <f>IF(IF(AA295="En retard",1,IF(AA295="Action à définir",2,IF(AA295="Échéance manquante",3,IF(AA295="Échéance proche",4,IF(AA295="À réévaluer",5,0)))))=0,"",IF(AA295="En retard",1,IF(AA295="Action à définir",2,IF(AA295="Échéance manquante",3,IF(AA295="Échéance proche",4,IF(AA295="À réévaluer",5,0)))))*100000000+IF(N(Q295)&gt;0,Q295,99999)*1000+ROW())</f>
        <v/>
      </c>
      <c r="AF295" s="59" t="str">
        <f>IF(X295&lt;&gt;"",X295,L295)</f>
        <v/>
      </c>
      <c r="AG295" s="59" t="str">
        <f>IF(X295&lt;&gt;"",Y295,IF(L295&lt;&gt;"",M295,""))</f>
        <v/>
      </c>
      <c r="AH295" s="59" t="str">
        <f>IF(L295="","",IF(X295&lt;&gt;"",U295,F295))</f>
        <v/>
      </c>
      <c r="AI295" s="59" t="str">
        <f>IF(L295="","",IF(X295&lt;&gt;"",V295,H295))</f>
        <v/>
      </c>
    </row>
    <row r="296" ht="30" customHeight="1">
      <c r="A296" s="50" t="n"/>
      <c r="B296" s="51" t="n"/>
      <c r="C296" s="51" t="n"/>
      <c r="D296" s="51" t="n"/>
      <c r="E296" s="51" t="n"/>
      <c r="F296" s="52" t="n"/>
      <c r="G296" s="51" t="n"/>
      <c r="H296" s="52" t="n"/>
      <c r="I296" s="51" t="n"/>
      <c r="J296" s="51" t="n"/>
      <c r="K296" s="52" t="n"/>
      <c r="L296" s="53" t="str">
        <f>IF(AND(IF(ISNUMBER(F296),AND(F296&gt;=1,F296&lt;=10,F296=INT(F296)),FALSE),IF(ISNUMBER(H296),AND(H296&gt;=1,H296&lt;=10,H296=INT(H296)),FALSE),IF(ISNUMBER(K296),AND(K296&gt;=1,K296&lt;=10,K296=INT(K296)),FALSE)),F296*H296*K296,"")</f>
        <v/>
      </c>
      <c r="M296" s="54" t="str">
        <f>IF(L296="",IF(D296="","","À coter"),IF(OR(F296&gt;=p_gmin,L296&gt;=p_ipr_crit),"Critique",IF(L296&gt;=p_ipr_act,"Élevée",IF(L296&gt;=p_ipr_watch,"Moyenne","Faible"))))</f>
        <v/>
      </c>
      <c r="N296" s="54" t="str">
        <f>IF(OR(M296="",M296="À coter"),"",IF(OR(M296="Critique",M296="Élevée"),"Oui","Non"))</f>
        <v/>
      </c>
      <c r="O296" s="51" t="n"/>
      <c r="P296" s="51" t="n"/>
      <c r="Q296" s="55" t="n"/>
      <c r="R296" s="50" t="n"/>
      <c r="S296" s="55" t="n"/>
      <c r="T296" s="56" t="n"/>
      <c r="U296" s="52" t="n"/>
      <c r="V296" s="52" t="n"/>
      <c r="W296" s="52" t="n"/>
      <c r="X296" s="53" t="str">
        <f>IF(AND(L296&lt;&gt;"",IF(ISNUMBER(U296),AND(U296&gt;=1,U296&lt;=10,U296=INT(U296)),FALSE),IF(ISNUMBER(V296),AND(V296&gt;=1,V296&lt;=10,V296=INT(V296)),FALSE),IF(ISNUMBER(W296),AND(W296&gt;=1,W296&lt;=10,W296=INT(W296)),FALSE)),U296*V296*W296,"")</f>
        <v/>
      </c>
      <c r="Y296" s="54" t="str">
        <f>IF(X296="","",IF(OR(U296&gt;=p_gmin,X296&gt;=p_ipr_crit),"Critique",IF(X296&gt;=p_ipr_act,"Élevée",IF(X296&gt;=p_ipr_watch,"Moyenne","Faible"))))</f>
        <v/>
      </c>
      <c r="Z296" s="57" t="str">
        <f>IF(X296="","",(L296-X296)/L296)</f>
        <v/>
      </c>
      <c r="AA296" s="54" t="str">
        <f>IF(AND(D296="",O296=""),"",IF(O296="",IF(N296="Oui","Action à définir",IF(N296="Non","Sans action","")),IF(R296="Annulée","Annulée",IF(R296="Réalisée",IF(X296="","À réévaluer","Réalisée"),IF(N(Q296)=0,"Échéance manquante",IF(Q296&lt;p_today,"En retard",IF(Q296-p_today&lt;=p_alert,"Échéance proche","Dans les délais")))))))</f>
        <v/>
      </c>
      <c r="AB296" s="58" t="str">
        <f>IF(AND(A296="",B296="",D296="",F296="",H296="",K296="",O296=""),"",IF(D296="","Mode de défaillance manquant",IF(AND(A296&lt;&gt;"",COUNTIF(am_num,A296)&gt;1),"N° en double",IF(F296="","Gravité G manquante",IF(NOT(IF(ISNUMBER(F296),AND(F296&gt;=1,F296&lt;=10,F296=INT(F296)),FALSE)),"G : entier de 1 à 10",IF(H296="","Occurrence O manquante",IF(NOT(IF(ISNUMBER(H296),AND(H296&gt;=1,H296&lt;=10,H296=INT(H296)),FALSE)),"O : entier de 1 à 10",IF(K296="","Détection D manquante",IF(NOT(IF(ISNUMBER(K296),AND(K296&gt;=1,K296&lt;=10,K296=INT(K296)),FALSE)),"D : entier de 1 à 10",IF(G296="","Cause manquante",IF(AND(O296&lt;&gt;"",P296=""),"Responsable manquant",IF(AND(R296&lt;&gt;"",O296=""),"Statut sans action",IF(AND(R296="Réalisée",N(S296)=0),"Date de réalisation manquante",IF(AND(T296&lt;&gt;"",IF(ISNUMBER(T296),T296&lt;0,TRUE)),"Coût invalide",IF(AND(COUNTBLANK(U296:W296)&gt;0,COUNTBLANK(U296:W296)&lt;3),"Cotation après action incomplète",IF(AND(COUNTBLANK(U296:W296)=0,X296=""),"G', O', D' : entiers de 1 à 10",IF(AND(X296&lt;&gt;"",X296&gt;L296),"IPR après action plus élevé","OK")))))))))))))))))</f>
        <v/>
      </c>
      <c r="AC296" s="59" t="str">
        <f>IF(OR(AA296="En retard",AA296="Échéance proche",AA296="Dans les délais",AA296="Échéance manquante",AA296="Action à définir",AA296="À réévaluer"),IF(OR(plan_who="",P296=plan_who),IF(N(Q296)&gt;0,Q296,99999)*1000+ROW(),""),"")</f>
        <v/>
      </c>
      <c r="AD296" s="59" t="str">
        <f>IF(L296="","",L296*1000+1000-ROW())</f>
        <v/>
      </c>
      <c r="AE296" s="59" t="str">
        <f>IF(IF(AA296="En retard",1,IF(AA296="Action à définir",2,IF(AA296="Échéance manquante",3,IF(AA296="Échéance proche",4,IF(AA296="À réévaluer",5,0)))))=0,"",IF(AA296="En retard",1,IF(AA296="Action à définir",2,IF(AA296="Échéance manquante",3,IF(AA296="Échéance proche",4,IF(AA296="À réévaluer",5,0)))))*100000000+IF(N(Q296)&gt;0,Q296,99999)*1000+ROW())</f>
        <v/>
      </c>
      <c r="AF296" s="59" t="str">
        <f>IF(X296&lt;&gt;"",X296,L296)</f>
        <v/>
      </c>
      <c r="AG296" s="59" t="str">
        <f>IF(X296&lt;&gt;"",Y296,IF(L296&lt;&gt;"",M296,""))</f>
        <v/>
      </c>
      <c r="AH296" s="59" t="str">
        <f>IF(L296="","",IF(X296&lt;&gt;"",U296,F296))</f>
        <v/>
      </c>
      <c r="AI296" s="59" t="str">
        <f>IF(L296="","",IF(X296&lt;&gt;"",V296,H296))</f>
        <v/>
      </c>
    </row>
    <row r="297" ht="30" customHeight="1">
      <c r="A297" s="50" t="n"/>
      <c r="B297" s="51" t="n"/>
      <c r="C297" s="51" t="n"/>
      <c r="D297" s="51" t="n"/>
      <c r="E297" s="51" t="n"/>
      <c r="F297" s="52" t="n"/>
      <c r="G297" s="51" t="n"/>
      <c r="H297" s="52" t="n"/>
      <c r="I297" s="51" t="n"/>
      <c r="J297" s="51" t="n"/>
      <c r="K297" s="52" t="n"/>
      <c r="L297" s="53" t="str">
        <f>IF(AND(IF(ISNUMBER(F297),AND(F297&gt;=1,F297&lt;=10,F297=INT(F297)),FALSE),IF(ISNUMBER(H297),AND(H297&gt;=1,H297&lt;=10,H297=INT(H297)),FALSE),IF(ISNUMBER(K297),AND(K297&gt;=1,K297&lt;=10,K297=INT(K297)),FALSE)),F297*H297*K297,"")</f>
        <v/>
      </c>
      <c r="M297" s="54" t="str">
        <f>IF(L297="",IF(D297="","","À coter"),IF(OR(F297&gt;=p_gmin,L297&gt;=p_ipr_crit),"Critique",IF(L297&gt;=p_ipr_act,"Élevée",IF(L297&gt;=p_ipr_watch,"Moyenne","Faible"))))</f>
        <v/>
      </c>
      <c r="N297" s="54" t="str">
        <f>IF(OR(M297="",M297="À coter"),"",IF(OR(M297="Critique",M297="Élevée"),"Oui","Non"))</f>
        <v/>
      </c>
      <c r="O297" s="51" t="n"/>
      <c r="P297" s="51" t="n"/>
      <c r="Q297" s="55" t="n"/>
      <c r="R297" s="50" t="n"/>
      <c r="S297" s="55" t="n"/>
      <c r="T297" s="56" t="n"/>
      <c r="U297" s="52" t="n"/>
      <c r="V297" s="52" t="n"/>
      <c r="W297" s="52" t="n"/>
      <c r="X297" s="53" t="str">
        <f>IF(AND(L297&lt;&gt;"",IF(ISNUMBER(U297),AND(U297&gt;=1,U297&lt;=10,U297=INT(U297)),FALSE),IF(ISNUMBER(V297),AND(V297&gt;=1,V297&lt;=10,V297=INT(V297)),FALSE),IF(ISNUMBER(W297),AND(W297&gt;=1,W297&lt;=10,W297=INT(W297)),FALSE)),U297*V297*W297,"")</f>
        <v/>
      </c>
      <c r="Y297" s="54" t="str">
        <f>IF(X297="","",IF(OR(U297&gt;=p_gmin,X297&gt;=p_ipr_crit),"Critique",IF(X297&gt;=p_ipr_act,"Élevée",IF(X297&gt;=p_ipr_watch,"Moyenne","Faible"))))</f>
        <v/>
      </c>
      <c r="Z297" s="57" t="str">
        <f>IF(X297="","",(L297-X297)/L297)</f>
        <v/>
      </c>
      <c r="AA297" s="54" t="str">
        <f>IF(AND(D297="",O297=""),"",IF(O297="",IF(N297="Oui","Action à définir",IF(N297="Non","Sans action","")),IF(R297="Annulée","Annulée",IF(R297="Réalisée",IF(X297="","À réévaluer","Réalisée"),IF(N(Q297)=0,"Échéance manquante",IF(Q297&lt;p_today,"En retard",IF(Q297-p_today&lt;=p_alert,"Échéance proche","Dans les délais")))))))</f>
        <v/>
      </c>
      <c r="AB297" s="58" t="str">
        <f>IF(AND(A297="",B297="",D297="",F297="",H297="",K297="",O297=""),"",IF(D297="","Mode de défaillance manquant",IF(AND(A297&lt;&gt;"",COUNTIF(am_num,A297)&gt;1),"N° en double",IF(F297="","Gravité G manquante",IF(NOT(IF(ISNUMBER(F297),AND(F297&gt;=1,F297&lt;=10,F297=INT(F297)),FALSE)),"G : entier de 1 à 10",IF(H297="","Occurrence O manquante",IF(NOT(IF(ISNUMBER(H297),AND(H297&gt;=1,H297&lt;=10,H297=INT(H297)),FALSE)),"O : entier de 1 à 10",IF(K297="","Détection D manquante",IF(NOT(IF(ISNUMBER(K297),AND(K297&gt;=1,K297&lt;=10,K297=INT(K297)),FALSE)),"D : entier de 1 à 10",IF(G297="","Cause manquante",IF(AND(O297&lt;&gt;"",P297=""),"Responsable manquant",IF(AND(R297&lt;&gt;"",O297=""),"Statut sans action",IF(AND(R297="Réalisée",N(S297)=0),"Date de réalisation manquante",IF(AND(T297&lt;&gt;"",IF(ISNUMBER(T297),T297&lt;0,TRUE)),"Coût invalide",IF(AND(COUNTBLANK(U297:W297)&gt;0,COUNTBLANK(U297:W297)&lt;3),"Cotation après action incomplète",IF(AND(COUNTBLANK(U297:W297)=0,X297=""),"G', O', D' : entiers de 1 à 10",IF(AND(X297&lt;&gt;"",X297&gt;L297),"IPR après action plus élevé","OK")))))))))))))))))</f>
        <v/>
      </c>
      <c r="AC297" s="59" t="str">
        <f>IF(OR(AA297="En retard",AA297="Échéance proche",AA297="Dans les délais",AA297="Échéance manquante",AA297="Action à définir",AA297="À réévaluer"),IF(OR(plan_who="",P297=plan_who),IF(N(Q297)&gt;0,Q297,99999)*1000+ROW(),""),"")</f>
        <v/>
      </c>
      <c r="AD297" s="59" t="str">
        <f>IF(L297="","",L297*1000+1000-ROW())</f>
        <v/>
      </c>
      <c r="AE297" s="59" t="str">
        <f>IF(IF(AA297="En retard",1,IF(AA297="Action à définir",2,IF(AA297="Échéance manquante",3,IF(AA297="Échéance proche",4,IF(AA297="À réévaluer",5,0)))))=0,"",IF(AA297="En retard",1,IF(AA297="Action à définir",2,IF(AA297="Échéance manquante",3,IF(AA297="Échéance proche",4,IF(AA297="À réévaluer",5,0)))))*100000000+IF(N(Q297)&gt;0,Q297,99999)*1000+ROW())</f>
        <v/>
      </c>
      <c r="AF297" s="59" t="str">
        <f>IF(X297&lt;&gt;"",X297,L297)</f>
        <v/>
      </c>
      <c r="AG297" s="59" t="str">
        <f>IF(X297&lt;&gt;"",Y297,IF(L297&lt;&gt;"",M297,""))</f>
        <v/>
      </c>
      <c r="AH297" s="59" t="str">
        <f>IF(L297="","",IF(X297&lt;&gt;"",U297,F297))</f>
        <v/>
      </c>
      <c r="AI297" s="59" t="str">
        <f>IF(L297="","",IF(X297&lt;&gt;"",V297,H297))</f>
        <v/>
      </c>
    </row>
    <row r="298" ht="30" customHeight="1">
      <c r="A298" s="50" t="n"/>
      <c r="B298" s="51" t="n"/>
      <c r="C298" s="51" t="n"/>
      <c r="D298" s="51" t="n"/>
      <c r="E298" s="51" t="n"/>
      <c r="F298" s="52" t="n"/>
      <c r="G298" s="51" t="n"/>
      <c r="H298" s="52" t="n"/>
      <c r="I298" s="51" t="n"/>
      <c r="J298" s="51" t="n"/>
      <c r="K298" s="52" t="n"/>
      <c r="L298" s="53" t="str">
        <f>IF(AND(IF(ISNUMBER(F298),AND(F298&gt;=1,F298&lt;=10,F298=INT(F298)),FALSE),IF(ISNUMBER(H298),AND(H298&gt;=1,H298&lt;=10,H298=INT(H298)),FALSE),IF(ISNUMBER(K298),AND(K298&gt;=1,K298&lt;=10,K298=INT(K298)),FALSE)),F298*H298*K298,"")</f>
        <v/>
      </c>
      <c r="M298" s="54" t="str">
        <f>IF(L298="",IF(D298="","","À coter"),IF(OR(F298&gt;=p_gmin,L298&gt;=p_ipr_crit),"Critique",IF(L298&gt;=p_ipr_act,"Élevée",IF(L298&gt;=p_ipr_watch,"Moyenne","Faible"))))</f>
        <v/>
      </c>
      <c r="N298" s="54" t="str">
        <f>IF(OR(M298="",M298="À coter"),"",IF(OR(M298="Critique",M298="Élevée"),"Oui","Non"))</f>
        <v/>
      </c>
      <c r="O298" s="51" t="n"/>
      <c r="P298" s="51" t="n"/>
      <c r="Q298" s="55" t="n"/>
      <c r="R298" s="50" t="n"/>
      <c r="S298" s="55" t="n"/>
      <c r="T298" s="56" t="n"/>
      <c r="U298" s="52" t="n"/>
      <c r="V298" s="52" t="n"/>
      <c r="W298" s="52" t="n"/>
      <c r="X298" s="53" t="str">
        <f>IF(AND(L298&lt;&gt;"",IF(ISNUMBER(U298),AND(U298&gt;=1,U298&lt;=10,U298=INT(U298)),FALSE),IF(ISNUMBER(V298),AND(V298&gt;=1,V298&lt;=10,V298=INT(V298)),FALSE),IF(ISNUMBER(W298),AND(W298&gt;=1,W298&lt;=10,W298=INT(W298)),FALSE)),U298*V298*W298,"")</f>
        <v/>
      </c>
      <c r="Y298" s="54" t="str">
        <f>IF(X298="","",IF(OR(U298&gt;=p_gmin,X298&gt;=p_ipr_crit),"Critique",IF(X298&gt;=p_ipr_act,"Élevée",IF(X298&gt;=p_ipr_watch,"Moyenne","Faible"))))</f>
        <v/>
      </c>
      <c r="Z298" s="57" t="str">
        <f>IF(X298="","",(L298-X298)/L298)</f>
        <v/>
      </c>
      <c r="AA298" s="54" t="str">
        <f>IF(AND(D298="",O298=""),"",IF(O298="",IF(N298="Oui","Action à définir",IF(N298="Non","Sans action","")),IF(R298="Annulée","Annulée",IF(R298="Réalisée",IF(X298="","À réévaluer","Réalisée"),IF(N(Q298)=0,"Échéance manquante",IF(Q298&lt;p_today,"En retard",IF(Q298-p_today&lt;=p_alert,"Échéance proche","Dans les délais")))))))</f>
        <v/>
      </c>
      <c r="AB298" s="58" t="str">
        <f>IF(AND(A298="",B298="",D298="",F298="",H298="",K298="",O298=""),"",IF(D298="","Mode de défaillance manquant",IF(AND(A298&lt;&gt;"",COUNTIF(am_num,A298)&gt;1),"N° en double",IF(F298="","Gravité G manquante",IF(NOT(IF(ISNUMBER(F298),AND(F298&gt;=1,F298&lt;=10,F298=INT(F298)),FALSE)),"G : entier de 1 à 10",IF(H298="","Occurrence O manquante",IF(NOT(IF(ISNUMBER(H298),AND(H298&gt;=1,H298&lt;=10,H298=INT(H298)),FALSE)),"O : entier de 1 à 10",IF(K298="","Détection D manquante",IF(NOT(IF(ISNUMBER(K298),AND(K298&gt;=1,K298&lt;=10,K298=INT(K298)),FALSE)),"D : entier de 1 à 10",IF(G298="","Cause manquante",IF(AND(O298&lt;&gt;"",P298=""),"Responsable manquant",IF(AND(R298&lt;&gt;"",O298=""),"Statut sans action",IF(AND(R298="Réalisée",N(S298)=0),"Date de réalisation manquante",IF(AND(T298&lt;&gt;"",IF(ISNUMBER(T298),T298&lt;0,TRUE)),"Coût invalide",IF(AND(COUNTBLANK(U298:W298)&gt;0,COUNTBLANK(U298:W298)&lt;3),"Cotation après action incomplète",IF(AND(COUNTBLANK(U298:W298)=0,X298=""),"G', O', D' : entiers de 1 à 10",IF(AND(X298&lt;&gt;"",X298&gt;L298),"IPR après action plus élevé","OK")))))))))))))))))</f>
        <v/>
      </c>
      <c r="AC298" s="59" t="str">
        <f>IF(OR(AA298="En retard",AA298="Échéance proche",AA298="Dans les délais",AA298="Échéance manquante",AA298="Action à définir",AA298="À réévaluer"),IF(OR(plan_who="",P298=plan_who),IF(N(Q298)&gt;0,Q298,99999)*1000+ROW(),""),"")</f>
        <v/>
      </c>
      <c r="AD298" s="59" t="str">
        <f>IF(L298="","",L298*1000+1000-ROW())</f>
        <v/>
      </c>
      <c r="AE298" s="59" t="str">
        <f>IF(IF(AA298="En retard",1,IF(AA298="Action à définir",2,IF(AA298="Échéance manquante",3,IF(AA298="Échéance proche",4,IF(AA298="À réévaluer",5,0)))))=0,"",IF(AA298="En retard",1,IF(AA298="Action à définir",2,IF(AA298="Échéance manquante",3,IF(AA298="Échéance proche",4,IF(AA298="À réévaluer",5,0)))))*100000000+IF(N(Q298)&gt;0,Q298,99999)*1000+ROW())</f>
        <v/>
      </c>
      <c r="AF298" s="59" t="str">
        <f>IF(X298&lt;&gt;"",X298,L298)</f>
        <v/>
      </c>
      <c r="AG298" s="59" t="str">
        <f>IF(X298&lt;&gt;"",Y298,IF(L298&lt;&gt;"",M298,""))</f>
        <v/>
      </c>
      <c r="AH298" s="59" t="str">
        <f>IF(L298="","",IF(X298&lt;&gt;"",U298,F298))</f>
        <v/>
      </c>
      <c r="AI298" s="59" t="str">
        <f>IF(L298="","",IF(X298&lt;&gt;"",V298,H298))</f>
        <v/>
      </c>
    </row>
    <row r="299" ht="30" customHeight="1">
      <c r="A299" s="50" t="n"/>
      <c r="B299" s="51" t="n"/>
      <c r="C299" s="51" t="n"/>
      <c r="D299" s="51" t="n"/>
      <c r="E299" s="51" t="n"/>
      <c r="F299" s="52" t="n"/>
      <c r="G299" s="51" t="n"/>
      <c r="H299" s="52" t="n"/>
      <c r="I299" s="51" t="n"/>
      <c r="J299" s="51" t="n"/>
      <c r="K299" s="52" t="n"/>
      <c r="L299" s="53" t="str">
        <f>IF(AND(IF(ISNUMBER(F299),AND(F299&gt;=1,F299&lt;=10,F299=INT(F299)),FALSE),IF(ISNUMBER(H299),AND(H299&gt;=1,H299&lt;=10,H299=INT(H299)),FALSE),IF(ISNUMBER(K299),AND(K299&gt;=1,K299&lt;=10,K299=INT(K299)),FALSE)),F299*H299*K299,"")</f>
        <v/>
      </c>
      <c r="M299" s="54" t="str">
        <f>IF(L299="",IF(D299="","","À coter"),IF(OR(F299&gt;=p_gmin,L299&gt;=p_ipr_crit),"Critique",IF(L299&gt;=p_ipr_act,"Élevée",IF(L299&gt;=p_ipr_watch,"Moyenne","Faible"))))</f>
        <v/>
      </c>
      <c r="N299" s="54" t="str">
        <f>IF(OR(M299="",M299="À coter"),"",IF(OR(M299="Critique",M299="Élevée"),"Oui","Non"))</f>
        <v/>
      </c>
      <c r="O299" s="51" t="n"/>
      <c r="P299" s="51" t="n"/>
      <c r="Q299" s="55" t="n"/>
      <c r="R299" s="50" t="n"/>
      <c r="S299" s="55" t="n"/>
      <c r="T299" s="56" t="n"/>
      <c r="U299" s="52" t="n"/>
      <c r="V299" s="52" t="n"/>
      <c r="W299" s="52" t="n"/>
      <c r="X299" s="53" t="str">
        <f>IF(AND(L299&lt;&gt;"",IF(ISNUMBER(U299),AND(U299&gt;=1,U299&lt;=10,U299=INT(U299)),FALSE),IF(ISNUMBER(V299),AND(V299&gt;=1,V299&lt;=10,V299=INT(V299)),FALSE),IF(ISNUMBER(W299),AND(W299&gt;=1,W299&lt;=10,W299=INT(W299)),FALSE)),U299*V299*W299,"")</f>
        <v/>
      </c>
      <c r="Y299" s="54" t="str">
        <f>IF(X299="","",IF(OR(U299&gt;=p_gmin,X299&gt;=p_ipr_crit),"Critique",IF(X299&gt;=p_ipr_act,"Élevée",IF(X299&gt;=p_ipr_watch,"Moyenne","Faible"))))</f>
        <v/>
      </c>
      <c r="Z299" s="57" t="str">
        <f>IF(X299="","",(L299-X299)/L299)</f>
        <v/>
      </c>
      <c r="AA299" s="54" t="str">
        <f>IF(AND(D299="",O299=""),"",IF(O299="",IF(N299="Oui","Action à définir",IF(N299="Non","Sans action","")),IF(R299="Annulée","Annulée",IF(R299="Réalisée",IF(X299="","À réévaluer","Réalisée"),IF(N(Q299)=0,"Échéance manquante",IF(Q299&lt;p_today,"En retard",IF(Q299-p_today&lt;=p_alert,"Échéance proche","Dans les délais")))))))</f>
        <v/>
      </c>
      <c r="AB299" s="58" t="str">
        <f>IF(AND(A299="",B299="",D299="",F299="",H299="",K299="",O299=""),"",IF(D299="","Mode de défaillance manquant",IF(AND(A299&lt;&gt;"",COUNTIF(am_num,A299)&gt;1),"N° en double",IF(F299="","Gravité G manquante",IF(NOT(IF(ISNUMBER(F299),AND(F299&gt;=1,F299&lt;=10,F299=INT(F299)),FALSE)),"G : entier de 1 à 10",IF(H299="","Occurrence O manquante",IF(NOT(IF(ISNUMBER(H299),AND(H299&gt;=1,H299&lt;=10,H299=INT(H299)),FALSE)),"O : entier de 1 à 10",IF(K299="","Détection D manquante",IF(NOT(IF(ISNUMBER(K299),AND(K299&gt;=1,K299&lt;=10,K299=INT(K299)),FALSE)),"D : entier de 1 à 10",IF(G299="","Cause manquante",IF(AND(O299&lt;&gt;"",P299=""),"Responsable manquant",IF(AND(R299&lt;&gt;"",O299=""),"Statut sans action",IF(AND(R299="Réalisée",N(S299)=0),"Date de réalisation manquante",IF(AND(T299&lt;&gt;"",IF(ISNUMBER(T299),T299&lt;0,TRUE)),"Coût invalide",IF(AND(COUNTBLANK(U299:W299)&gt;0,COUNTBLANK(U299:W299)&lt;3),"Cotation après action incomplète",IF(AND(COUNTBLANK(U299:W299)=0,X299=""),"G', O', D' : entiers de 1 à 10",IF(AND(X299&lt;&gt;"",X299&gt;L299),"IPR après action plus élevé","OK")))))))))))))))))</f>
        <v/>
      </c>
      <c r="AC299" s="59" t="str">
        <f>IF(OR(AA299="En retard",AA299="Échéance proche",AA299="Dans les délais",AA299="Échéance manquante",AA299="Action à définir",AA299="À réévaluer"),IF(OR(plan_who="",P299=plan_who),IF(N(Q299)&gt;0,Q299,99999)*1000+ROW(),""),"")</f>
        <v/>
      </c>
      <c r="AD299" s="59" t="str">
        <f>IF(L299="","",L299*1000+1000-ROW())</f>
        <v/>
      </c>
      <c r="AE299" s="59" t="str">
        <f>IF(IF(AA299="En retard",1,IF(AA299="Action à définir",2,IF(AA299="Échéance manquante",3,IF(AA299="Échéance proche",4,IF(AA299="À réévaluer",5,0)))))=0,"",IF(AA299="En retard",1,IF(AA299="Action à définir",2,IF(AA299="Échéance manquante",3,IF(AA299="Échéance proche",4,IF(AA299="À réévaluer",5,0)))))*100000000+IF(N(Q299)&gt;0,Q299,99999)*1000+ROW())</f>
        <v/>
      </c>
      <c r="AF299" s="59" t="str">
        <f>IF(X299&lt;&gt;"",X299,L299)</f>
        <v/>
      </c>
      <c r="AG299" s="59" t="str">
        <f>IF(X299&lt;&gt;"",Y299,IF(L299&lt;&gt;"",M299,""))</f>
        <v/>
      </c>
      <c r="AH299" s="59" t="str">
        <f>IF(L299="","",IF(X299&lt;&gt;"",U299,F299))</f>
        <v/>
      </c>
      <c r="AI299" s="59" t="str">
        <f>IF(L299="","",IF(X299&lt;&gt;"",V299,H299))</f>
        <v/>
      </c>
    </row>
    <row r="300" ht="30" customHeight="1">
      <c r="A300" s="50" t="n"/>
      <c r="B300" s="51" t="n"/>
      <c r="C300" s="51" t="n"/>
      <c r="D300" s="51" t="n"/>
      <c r="E300" s="51" t="n"/>
      <c r="F300" s="52" t="n"/>
      <c r="G300" s="51" t="n"/>
      <c r="H300" s="52" t="n"/>
      <c r="I300" s="51" t="n"/>
      <c r="J300" s="51" t="n"/>
      <c r="K300" s="52" t="n"/>
      <c r="L300" s="53" t="str">
        <f>IF(AND(IF(ISNUMBER(F300),AND(F300&gt;=1,F300&lt;=10,F300=INT(F300)),FALSE),IF(ISNUMBER(H300),AND(H300&gt;=1,H300&lt;=10,H300=INT(H300)),FALSE),IF(ISNUMBER(K300),AND(K300&gt;=1,K300&lt;=10,K300=INT(K300)),FALSE)),F300*H300*K300,"")</f>
        <v/>
      </c>
      <c r="M300" s="54" t="str">
        <f>IF(L300="",IF(D300="","","À coter"),IF(OR(F300&gt;=p_gmin,L300&gt;=p_ipr_crit),"Critique",IF(L300&gt;=p_ipr_act,"Élevée",IF(L300&gt;=p_ipr_watch,"Moyenne","Faible"))))</f>
        <v/>
      </c>
      <c r="N300" s="54" t="str">
        <f>IF(OR(M300="",M300="À coter"),"",IF(OR(M300="Critique",M300="Élevée"),"Oui","Non"))</f>
        <v/>
      </c>
      <c r="O300" s="51" t="n"/>
      <c r="P300" s="51" t="n"/>
      <c r="Q300" s="55" t="n"/>
      <c r="R300" s="50" t="n"/>
      <c r="S300" s="55" t="n"/>
      <c r="T300" s="56" t="n"/>
      <c r="U300" s="52" t="n"/>
      <c r="V300" s="52" t="n"/>
      <c r="W300" s="52" t="n"/>
      <c r="X300" s="53" t="str">
        <f>IF(AND(L300&lt;&gt;"",IF(ISNUMBER(U300),AND(U300&gt;=1,U300&lt;=10,U300=INT(U300)),FALSE),IF(ISNUMBER(V300),AND(V300&gt;=1,V300&lt;=10,V300=INT(V300)),FALSE),IF(ISNUMBER(W300),AND(W300&gt;=1,W300&lt;=10,W300=INT(W300)),FALSE)),U300*V300*W300,"")</f>
        <v/>
      </c>
      <c r="Y300" s="54" t="str">
        <f>IF(X300="","",IF(OR(U300&gt;=p_gmin,X300&gt;=p_ipr_crit),"Critique",IF(X300&gt;=p_ipr_act,"Élevée",IF(X300&gt;=p_ipr_watch,"Moyenne","Faible"))))</f>
        <v/>
      </c>
      <c r="Z300" s="57" t="str">
        <f>IF(X300="","",(L300-X300)/L300)</f>
        <v/>
      </c>
      <c r="AA300" s="54" t="str">
        <f>IF(AND(D300="",O300=""),"",IF(O300="",IF(N300="Oui","Action à définir",IF(N300="Non","Sans action","")),IF(R300="Annulée","Annulée",IF(R300="Réalisée",IF(X300="","À réévaluer","Réalisée"),IF(N(Q300)=0,"Échéance manquante",IF(Q300&lt;p_today,"En retard",IF(Q300-p_today&lt;=p_alert,"Échéance proche","Dans les délais")))))))</f>
        <v/>
      </c>
      <c r="AB300" s="58" t="str">
        <f>IF(AND(A300="",B300="",D300="",F300="",H300="",K300="",O300=""),"",IF(D300="","Mode de défaillance manquant",IF(AND(A300&lt;&gt;"",COUNTIF(am_num,A300)&gt;1),"N° en double",IF(F300="","Gravité G manquante",IF(NOT(IF(ISNUMBER(F300),AND(F300&gt;=1,F300&lt;=10,F300=INT(F300)),FALSE)),"G : entier de 1 à 10",IF(H300="","Occurrence O manquante",IF(NOT(IF(ISNUMBER(H300),AND(H300&gt;=1,H300&lt;=10,H300=INT(H300)),FALSE)),"O : entier de 1 à 10",IF(K300="","Détection D manquante",IF(NOT(IF(ISNUMBER(K300),AND(K300&gt;=1,K300&lt;=10,K300=INT(K300)),FALSE)),"D : entier de 1 à 10",IF(G300="","Cause manquante",IF(AND(O300&lt;&gt;"",P300=""),"Responsable manquant",IF(AND(R300&lt;&gt;"",O300=""),"Statut sans action",IF(AND(R300="Réalisée",N(S300)=0),"Date de réalisation manquante",IF(AND(T300&lt;&gt;"",IF(ISNUMBER(T300),T300&lt;0,TRUE)),"Coût invalide",IF(AND(COUNTBLANK(U300:W300)&gt;0,COUNTBLANK(U300:W300)&lt;3),"Cotation après action incomplète",IF(AND(COUNTBLANK(U300:W300)=0,X300=""),"G', O', D' : entiers de 1 à 10",IF(AND(X300&lt;&gt;"",X300&gt;L300),"IPR après action plus élevé","OK")))))))))))))))))</f>
        <v/>
      </c>
      <c r="AC300" s="59" t="str">
        <f>IF(OR(AA300="En retard",AA300="Échéance proche",AA300="Dans les délais",AA300="Échéance manquante",AA300="Action à définir",AA300="À réévaluer"),IF(OR(plan_who="",P300=plan_who),IF(N(Q300)&gt;0,Q300,99999)*1000+ROW(),""),"")</f>
        <v/>
      </c>
      <c r="AD300" s="59" t="str">
        <f>IF(L300="","",L300*1000+1000-ROW())</f>
        <v/>
      </c>
      <c r="AE300" s="59" t="str">
        <f>IF(IF(AA300="En retard",1,IF(AA300="Action à définir",2,IF(AA300="Échéance manquante",3,IF(AA300="Échéance proche",4,IF(AA300="À réévaluer",5,0)))))=0,"",IF(AA300="En retard",1,IF(AA300="Action à définir",2,IF(AA300="Échéance manquante",3,IF(AA300="Échéance proche",4,IF(AA300="À réévaluer",5,0)))))*100000000+IF(N(Q300)&gt;0,Q300,99999)*1000+ROW())</f>
        <v/>
      </c>
      <c r="AF300" s="59" t="str">
        <f>IF(X300&lt;&gt;"",X300,L300)</f>
        <v/>
      </c>
      <c r="AG300" s="59" t="str">
        <f>IF(X300&lt;&gt;"",Y300,IF(L300&lt;&gt;"",M300,""))</f>
        <v/>
      </c>
      <c r="AH300" s="59" t="str">
        <f>IF(L300="","",IF(X300&lt;&gt;"",U300,F300))</f>
        <v/>
      </c>
      <c r="AI300" s="59" t="str">
        <f>IF(L300="","",IF(X300&lt;&gt;"",V300,H300))</f>
        <v/>
      </c>
    </row>
    <row r="301" ht="30" customHeight="1">
      <c r="A301" s="50" t="n"/>
      <c r="B301" s="51" t="n"/>
      <c r="C301" s="51" t="n"/>
      <c r="D301" s="51" t="n"/>
      <c r="E301" s="51" t="n"/>
      <c r="F301" s="52" t="n"/>
      <c r="G301" s="51" t="n"/>
      <c r="H301" s="52" t="n"/>
      <c r="I301" s="51" t="n"/>
      <c r="J301" s="51" t="n"/>
      <c r="K301" s="52" t="n"/>
      <c r="L301" s="53" t="str">
        <f>IF(AND(IF(ISNUMBER(F301),AND(F301&gt;=1,F301&lt;=10,F301=INT(F301)),FALSE),IF(ISNUMBER(H301),AND(H301&gt;=1,H301&lt;=10,H301=INT(H301)),FALSE),IF(ISNUMBER(K301),AND(K301&gt;=1,K301&lt;=10,K301=INT(K301)),FALSE)),F301*H301*K301,"")</f>
        <v/>
      </c>
      <c r="M301" s="54" t="str">
        <f>IF(L301="",IF(D301="","","À coter"),IF(OR(F301&gt;=p_gmin,L301&gt;=p_ipr_crit),"Critique",IF(L301&gt;=p_ipr_act,"Élevée",IF(L301&gt;=p_ipr_watch,"Moyenne","Faible"))))</f>
        <v/>
      </c>
      <c r="N301" s="54" t="str">
        <f>IF(OR(M301="",M301="À coter"),"",IF(OR(M301="Critique",M301="Élevée"),"Oui","Non"))</f>
        <v/>
      </c>
      <c r="O301" s="51" t="n"/>
      <c r="P301" s="51" t="n"/>
      <c r="Q301" s="55" t="n"/>
      <c r="R301" s="50" t="n"/>
      <c r="S301" s="55" t="n"/>
      <c r="T301" s="56" t="n"/>
      <c r="U301" s="52" t="n"/>
      <c r="V301" s="52" t="n"/>
      <c r="W301" s="52" t="n"/>
      <c r="X301" s="53" t="str">
        <f>IF(AND(L301&lt;&gt;"",IF(ISNUMBER(U301),AND(U301&gt;=1,U301&lt;=10,U301=INT(U301)),FALSE),IF(ISNUMBER(V301),AND(V301&gt;=1,V301&lt;=10,V301=INT(V301)),FALSE),IF(ISNUMBER(W301),AND(W301&gt;=1,W301&lt;=10,W301=INT(W301)),FALSE)),U301*V301*W301,"")</f>
        <v/>
      </c>
      <c r="Y301" s="54" t="str">
        <f>IF(X301="","",IF(OR(U301&gt;=p_gmin,X301&gt;=p_ipr_crit),"Critique",IF(X301&gt;=p_ipr_act,"Élevée",IF(X301&gt;=p_ipr_watch,"Moyenne","Faible"))))</f>
        <v/>
      </c>
      <c r="Z301" s="57" t="str">
        <f>IF(X301="","",(L301-X301)/L301)</f>
        <v/>
      </c>
      <c r="AA301" s="54" t="str">
        <f>IF(AND(D301="",O301=""),"",IF(O301="",IF(N301="Oui","Action à définir",IF(N301="Non","Sans action","")),IF(R301="Annulée","Annulée",IF(R301="Réalisée",IF(X301="","À réévaluer","Réalisée"),IF(N(Q301)=0,"Échéance manquante",IF(Q301&lt;p_today,"En retard",IF(Q301-p_today&lt;=p_alert,"Échéance proche","Dans les délais")))))))</f>
        <v/>
      </c>
      <c r="AB301" s="58" t="str">
        <f>IF(AND(A301="",B301="",D301="",F301="",H301="",K301="",O301=""),"",IF(D301="","Mode de défaillance manquant",IF(AND(A301&lt;&gt;"",COUNTIF(am_num,A301)&gt;1),"N° en double",IF(F301="","Gravité G manquante",IF(NOT(IF(ISNUMBER(F301),AND(F301&gt;=1,F301&lt;=10,F301=INT(F301)),FALSE)),"G : entier de 1 à 10",IF(H301="","Occurrence O manquante",IF(NOT(IF(ISNUMBER(H301),AND(H301&gt;=1,H301&lt;=10,H301=INT(H301)),FALSE)),"O : entier de 1 à 10",IF(K301="","Détection D manquante",IF(NOT(IF(ISNUMBER(K301),AND(K301&gt;=1,K301&lt;=10,K301=INT(K301)),FALSE)),"D : entier de 1 à 10",IF(G301="","Cause manquante",IF(AND(O301&lt;&gt;"",P301=""),"Responsable manquant",IF(AND(R301&lt;&gt;"",O301=""),"Statut sans action",IF(AND(R301="Réalisée",N(S301)=0),"Date de réalisation manquante",IF(AND(T301&lt;&gt;"",IF(ISNUMBER(T301),T301&lt;0,TRUE)),"Coût invalide",IF(AND(COUNTBLANK(U301:W301)&gt;0,COUNTBLANK(U301:W301)&lt;3),"Cotation après action incomplète",IF(AND(COUNTBLANK(U301:W301)=0,X301=""),"G', O', D' : entiers de 1 à 10",IF(AND(X301&lt;&gt;"",X301&gt;L301),"IPR après action plus élevé","OK")))))))))))))))))</f>
        <v/>
      </c>
      <c r="AC301" s="59" t="str">
        <f>IF(OR(AA301="En retard",AA301="Échéance proche",AA301="Dans les délais",AA301="Échéance manquante",AA301="Action à définir",AA301="À réévaluer"),IF(OR(plan_who="",P301=plan_who),IF(N(Q301)&gt;0,Q301,99999)*1000+ROW(),""),"")</f>
        <v/>
      </c>
      <c r="AD301" s="59" t="str">
        <f>IF(L301="","",L301*1000+1000-ROW())</f>
        <v/>
      </c>
      <c r="AE301" s="59" t="str">
        <f>IF(IF(AA301="En retard",1,IF(AA301="Action à définir",2,IF(AA301="Échéance manquante",3,IF(AA301="Échéance proche",4,IF(AA301="À réévaluer",5,0)))))=0,"",IF(AA301="En retard",1,IF(AA301="Action à définir",2,IF(AA301="Échéance manquante",3,IF(AA301="Échéance proche",4,IF(AA301="À réévaluer",5,0)))))*100000000+IF(N(Q301)&gt;0,Q301,99999)*1000+ROW())</f>
        <v/>
      </c>
      <c r="AF301" s="59" t="str">
        <f>IF(X301&lt;&gt;"",X301,L301)</f>
        <v/>
      </c>
      <c r="AG301" s="59" t="str">
        <f>IF(X301&lt;&gt;"",Y301,IF(L301&lt;&gt;"",M301,""))</f>
        <v/>
      </c>
      <c r="AH301" s="59" t="str">
        <f>IF(L301="","",IF(X301&lt;&gt;"",U301,F301))</f>
        <v/>
      </c>
      <c r="AI301" s="59" t="str">
        <f>IF(L301="","",IF(X301&lt;&gt;"",V301,H301))</f>
        <v/>
      </c>
    </row>
    <row r="302" ht="30" customHeight="1">
      <c r="A302" s="50" t="n"/>
      <c r="B302" s="51" t="n"/>
      <c r="C302" s="51" t="n"/>
      <c r="D302" s="51" t="n"/>
      <c r="E302" s="51" t="n"/>
      <c r="F302" s="52" t="n"/>
      <c r="G302" s="51" t="n"/>
      <c r="H302" s="52" t="n"/>
      <c r="I302" s="51" t="n"/>
      <c r="J302" s="51" t="n"/>
      <c r="K302" s="52" t="n"/>
      <c r="L302" s="53" t="str">
        <f>IF(AND(IF(ISNUMBER(F302),AND(F302&gt;=1,F302&lt;=10,F302=INT(F302)),FALSE),IF(ISNUMBER(H302),AND(H302&gt;=1,H302&lt;=10,H302=INT(H302)),FALSE),IF(ISNUMBER(K302),AND(K302&gt;=1,K302&lt;=10,K302=INT(K302)),FALSE)),F302*H302*K302,"")</f>
        <v/>
      </c>
      <c r="M302" s="54" t="str">
        <f>IF(L302="",IF(D302="","","À coter"),IF(OR(F302&gt;=p_gmin,L302&gt;=p_ipr_crit),"Critique",IF(L302&gt;=p_ipr_act,"Élevée",IF(L302&gt;=p_ipr_watch,"Moyenne","Faible"))))</f>
        <v/>
      </c>
      <c r="N302" s="54" t="str">
        <f>IF(OR(M302="",M302="À coter"),"",IF(OR(M302="Critique",M302="Élevée"),"Oui","Non"))</f>
        <v/>
      </c>
      <c r="O302" s="51" t="n"/>
      <c r="P302" s="51" t="n"/>
      <c r="Q302" s="55" t="n"/>
      <c r="R302" s="50" t="n"/>
      <c r="S302" s="55" t="n"/>
      <c r="T302" s="56" t="n"/>
      <c r="U302" s="52" t="n"/>
      <c r="V302" s="52" t="n"/>
      <c r="W302" s="52" t="n"/>
      <c r="X302" s="53" t="str">
        <f>IF(AND(L302&lt;&gt;"",IF(ISNUMBER(U302),AND(U302&gt;=1,U302&lt;=10,U302=INT(U302)),FALSE),IF(ISNUMBER(V302),AND(V302&gt;=1,V302&lt;=10,V302=INT(V302)),FALSE),IF(ISNUMBER(W302),AND(W302&gt;=1,W302&lt;=10,W302=INT(W302)),FALSE)),U302*V302*W302,"")</f>
        <v/>
      </c>
      <c r="Y302" s="54" t="str">
        <f>IF(X302="","",IF(OR(U302&gt;=p_gmin,X302&gt;=p_ipr_crit),"Critique",IF(X302&gt;=p_ipr_act,"Élevée",IF(X302&gt;=p_ipr_watch,"Moyenne","Faible"))))</f>
        <v/>
      </c>
      <c r="Z302" s="57" t="str">
        <f>IF(X302="","",(L302-X302)/L302)</f>
        <v/>
      </c>
      <c r="AA302" s="54" t="str">
        <f>IF(AND(D302="",O302=""),"",IF(O302="",IF(N302="Oui","Action à définir",IF(N302="Non","Sans action","")),IF(R302="Annulée","Annulée",IF(R302="Réalisée",IF(X302="","À réévaluer","Réalisée"),IF(N(Q302)=0,"Échéance manquante",IF(Q302&lt;p_today,"En retard",IF(Q302-p_today&lt;=p_alert,"Échéance proche","Dans les délais")))))))</f>
        <v/>
      </c>
      <c r="AB302" s="58" t="str">
        <f>IF(AND(A302="",B302="",D302="",F302="",H302="",K302="",O302=""),"",IF(D302="","Mode de défaillance manquant",IF(AND(A302&lt;&gt;"",COUNTIF(am_num,A302)&gt;1),"N° en double",IF(F302="","Gravité G manquante",IF(NOT(IF(ISNUMBER(F302),AND(F302&gt;=1,F302&lt;=10,F302=INT(F302)),FALSE)),"G : entier de 1 à 10",IF(H302="","Occurrence O manquante",IF(NOT(IF(ISNUMBER(H302),AND(H302&gt;=1,H302&lt;=10,H302=INT(H302)),FALSE)),"O : entier de 1 à 10",IF(K302="","Détection D manquante",IF(NOT(IF(ISNUMBER(K302),AND(K302&gt;=1,K302&lt;=10,K302=INT(K302)),FALSE)),"D : entier de 1 à 10",IF(G302="","Cause manquante",IF(AND(O302&lt;&gt;"",P302=""),"Responsable manquant",IF(AND(R302&lt;&gt;"",O302=""),"Statut sans action",IF(AND(R302="Réalisée",N(S302)=0),"Date de réalisation manquante",IF(AND(T302&lt;&gt;"",IF(ISNUMBER(T302),T302&lt;0,TRUE)),"Coût invalide",IF(AND(COUNTBLANK(U302:W302)&gt;0,COUNTBLANK(U302:W302)&lt;3),"Cotation après action incomplète",IF(AND(COUNTBLANK(U302:W302)=0,X302=""),"G', O', D' : entiers de 1 à 10",IF(AND(X302&lt;&gt;"",X302&gt;L302),"IPR après action plus élevé","OK")))))))))))))))))</f>
        <v/>
      </c>
      <c r="AC302" s="59" t="str">
        <f>IF(OR(AA302="En retard",AA302="Échéance proche",AA302="Dans les délais",AA302="Échéance manquante",AA302="Action à définir",AA302="À réévaluer"),IF(OR(plan_who="",P302=plan_who),IF(N(Q302)&gt;0,Q302,99999)*1000+ROW(),""),"")</f>
        <v/>
      </c>
      <c r="AD302" s="59" t="str">
        <f>IF(L302="","",L302*1000+1000-ROW())</f>
        <v/>
      </c>
      <c r="AE302" s="59" t="str">
        <f>IF(IF(AA302="En retard",1,IF(AA302="Action à définir",2,IF(AA302="Échéance manquante",3,IF(AA302="Échéance proche",4,IF(AA302="À réévaluer",5,0)))))=0,"",IF(AA302="En retard",1,IF(AA302="Action à définir",2,IF(AA302="Échéance manquante",3,IF(AA302="Échéance proche",4,IF(AA302="À réévaluer",5,0)))))*100000000+IF(N(Q302)&gt;0,Q302,99999)*1000+ROW())</f>
        <v/>
      </c>
      <c r="AF302" s="59" t="str">
        <f>IF(X302&lt;&gt;"",X302,L302)</f>
        <v/>
      </c>
      <c r="AG302" s="59" t="str">
        <f>IF(X302&lt;&gt;"",Y302,IF(L302&lt;&gt;"",M302,""))</f>
        <v/>
      </c>
      <c r="AH302" s="59" t="str">
        <f>IF(L302="","",IF(X302&lt;&gt;"",U302,F302))</f>
        <v/>
      </c>
      <c r="AI302" s="59" t="str">
        <f>IF(L302="","",IF(X302&lt;&gt;"",V302,H302))</f>
        <v/>
      </c>
    </row>
    <row r="303" ht="30" customHeight="1">
      <c r="A303" s="50" t="n"/>
      <c r="B303" s="51" t="n"/>
      <c r="C303" s="51" t="n"/>
      <c r="D303" s="51" t="n"/>
      <c r="E303" s="51" t="n"/>
      <c r="F303" s="52" t="n"/>
      <c r="G303" s="51" t="n"/>
      <c r="H303" s="52" t="n"/>
      <c r="I303" s="51" t="n"/>
      <c r="J303" s="51" t="n"/>
      <c r="K303" s="52" t="n"/>
      <c r="L303" s="53" t="str">
        <f>IF(AND(IF(ISNUMBER(F303),AND(F303&gt;=1,F303&lt;=10,F303=INT(F303)),FALSE),IF(ISNUMBER(H303),AND(H303&gt;=1,H303&lt;=10,H303=INT(H303)),FALSE),IF(ISNUMBER(K303),AND(K303&gt;=1,K303&lt;=10,K303=INT(K303)),FALSE)),F303*H303*K303,"")</f>
        <v/>
      </c>
      <c r="M303" s="54" t="str">
        <f>IF(L303="",IF(D303="","","À coter"),IF(OR(F303&gt;=p_gmin,L303&gt;=p_ipr_crit),"Critique",IF(L303&gt;=p_ipr_act,"Élevée",IF(L303&gt;=p_ipr_watch,"Moyenne","Faible"))))</f>
        <v/>
      </c>
      <c r="N303" s="54" t="str">
        <f>IF(OR(M303="",M303="À coter"),"",IF(OR(M303="Critique",M303="Élevée"),"Oui","Non"))</f>
        <v/>
      </c>
      <c r="O303" s="51" t="n"/>
      <c r="P303" s="51" t="n"/>
      <c r="Q303" s="55" t="n"/>
      <c r="R303" s="50" t="n"/>
      <c r="S303" s="55" t="n"/>
      <c r="T303" s="56" t="n"/>
      <c r="U303" s="52" t="n"/>
      <c r="V303" s="52" t="n"/>
      <c r="W303" s="52" t="n"/>
      <c r="X303" s="53" t="str">
        <f>IF(AND(L303&lt;&gt;"",IF(ISNUMBER(U303),AND(U303&gt;=1,U303&lt;=10,U303=INT(U303)),FALSE),IF(ISNUMBER(V303),AND(V303&gt;=1,V303&lt;=10,V303=INT(V303)),FALSE),IF(ISNUMBER(W303),AND(W303&gt;=1,W303&lt;=10,W303=INT(W303)),FALSE)),U303*V303*W303,"")</f>
        <v/>
      </c>
      <c r="Y303" s="54" t="str">
        <f>IF(X303="","",IF(OR(U303&gt;=p_gmin,X303&gt;=p_ipr_crit),"Critique",IF(X303&gt;=p_ipr_act,"Élevée",IF(X303&gt;=p_ipr_watch,"Moyenne","Faible"))))</f>
        <v/>
      </c>
      <c r="Z303" s="57" t="str">
        <f>IF(X303="","",(L303-X303)/L303)</f>
        <v/>
      </c>
      <c r="AA303" s="54" t="str">
        <f>IF(AND(D303="",O303=""),"",IF(O303="",IF(N303="Oui","Action à définir",IF(N303="Non","Sans action","")),IF(R303="Annulée","Annulée",IF(R303="Réalisée",IF(X303="","À réévaluer","Réalisée"),IF(N(Q303)=0,"Échéance manquante",IF(Q303&lt;p_today,"En retard",IF(Q303-p_today&lt;=p_alert,"Échéance proche","Dans les délais")))))))</f>
        <v/>
      </c>
      <c r="AB303" s="58" t="str">
        <f>IF(AND(A303="",B303="",D303="",F303="",H303="",K303="",O303=""),"",IF(D303="","Mode de défaillance manquant",IF(AND(A303&lt;&gt;"",COUNTIF(am_num,A303)&gt;1),"N° en double",IF(F303="","Gravité G manquante",IF(NOT(IF(ISNUMBER(F303),AND(F303&gt;=1,F303&lt;=10,F303=INT(F303)),FALSE)),"G : entier de 1 à 10",IF(H303="","Occurrence O manquante",IF(NOT(IF(ISNUMBER(H303),AND(H303&gt;=1,H303&lt;=10,H303=INT(H303)),FALSE)),"O : entier de 1 à 10",IF(K303="","Détection D manquante",IF(NOT(IF(ISNUMBER(K303),AND(K303&gt;=1,K303&lt;=10,K303=INT(K303)),FALSE)),"D : entier de 1 à 10",IF(G303="","Cause manquante",IF(AND(O303&lt;&gt;"",P303=""),"Responsable manquant",IF(AND(R303&lt;&gt;"",O303=""),"Statut sans action",IF(AND(R303="Réalisée",N(S303)=0),"Date de réalisation manquante",IF(AND(T303&lt;&gt;"",IF(ISNUMBER(T303),T303&lt;0,TRUE)),"Coût invalide",IF(AND(COUNTBLANK(U303:W303)&gt;0,COUNTBLANK(U303:W303)&lt;3),"Cotation après action incomplète",IF(AND(COUNTBLANK(U303:W303)=0,X303=""),"G', O', D' : entiers de 1 à 10",IF(AND(X303&lt;&gt;"",X303&gt;L303),"IPR après action plus élevé","OK")))))))))))))))))</f>
        <v/>
      </c>
      <c r="AC303" s="59" t="str">
        <f>IF(OR(AA303="En retard",AA303="Échéance proche",AA303="Dans les délais",AA303="Échéance manquante",AA303="Action à définir",AA303="À réévaluer"),IF(OR(plan_who="",P303=plan_who),IF(N(Q303)&gt;0,Q303,99999)*1000+ROW(),""),"")</f>
        <v/>
      </c>
      <c r="AD303" s="59" t="str">
        <f>IF(L303="","",L303*1000+1000-ROW())</f>
        <v/>
      </c>
      <c r="AE303" s="59" t="str">
        <f>IF(IF(AA303="En retard",1,IF(AA303="Action à définir",2,IF(AA303="Échéance manquante",3,IF(AA303="Échéance proche",4,IF(AA303="À réévaluer",5,0)))))=0,"",IF(AA303="En retard",1,IF(AA303="Action à définir",2,IF(AA303="Échéance manquante",3,IF(AA303="Échéance proche",4,IF(AA303="À réévaluer",5,0)))))*100000000+IF(N(Q303)&gt;0,Q303,99999)*1000+ROW())</f>
        <v/>
      </c>
      <c r="AF303" s="59" t="str">
        <f>IF(X303&lt;&gt;"",X303,L303)</f>
        <v/>
      </c>
      <c r="AG303" s="59" t="str">
        <f>IF(X303&lt;&gt;"",Y303,IF(L303&lt;&gt;"",M303,""))</f>
        <v/>
      </c>
      <c r="AH303" s="59" t="str">
        <f>IF(L303="","",IF(X303&lt;&gt;"",U303,F303))</f>
        <v/>
      </c>
      <c r="AI303" s="59" t="str">
        <f>IF(L303="","",IF(X303&lt;&gt;"",V303,H303))</f>
        <v/>
      </c>
    </row>
    <row r="304" ht="30" customHeight="1">
      <c r="A304" s="50" t="n"/>
      <c r="B304" s="51" t="n"/>
      <c r="C304" s="51" t="n"/>
      <c r="D304" s="51" t="n"/>
      <c r="E304" s="51" t="n"/>
      <c r="F304" s="52" t="n"/>
      <c r="G304" s="51" t="n"/>
      <c r="H304" s="52" t="n"/>
      <c r="I304" s="51" t="n"/>
      <c r="J304" s="51" t="n"/>
      <c r="K304" s="52" t="n"/>
      <c r="L304" s="53" t="str">
        <f>IF(AND(IF(ISNUMBER(F304),AND(F304&gt;=1,F304&lt;=10,F304=INT(F304)),FALSE),IF(ISNUMBER(H304),AND(H304&gt;=1,H304&lt;=10,H304=INT(H304)),FALSE),IF(ISNUMBER(K304),AND(K304&gt;=1,K304&lt;=10,K304=INT(K304)),FALSE)),F304*H304*K304,"")</f>
        <v/>
      </c>
      <c r="M304" s="54" t="str">
        <f>IF(L304="",IF(D304="","","À coter"),IF(OR(F304&gt;=p_gmin,L304&gt;=p_ipr_crit),"Critique",IF(L304&gt;=p_ipr_act,"Élevée",IF(L304&gt;=p_ipr_watch,"Moyenne","Faible"))))</f>
        <v/>
      </c>
      <c r="N304" s="54" t="str">
        <f>IF(OR(M304="",M304="À coter"),"",IF(OR(M304="Critique",M304="Élevée"),"Oui","Non"))</f>
        <v/>
      </c>
      <c r="O304" s="51" t="n"/>
      <c r="P304" s="51" t="n"/>
      <c r="Q304" s="55" t="n"/>
      <c r="R304" s="50" t="n"/>
      <c r="S304" s="55" t="n"/>
      <c r="T304" s="56" t="n"/>
      <c r="U304" s="52" t="n"/>
      <c r="V304" s="52" t="n"/>
      <c r="W304" s="52" t="n"/>
      <c r="X304" s="53" t="str">
        <f>IF(AND(L304&lt;&gt;"",IF(ISNUMBER(U304),AND(U304&gt;=1,U304&lt;=10,U304=INT(U304)),FALSE),IF(ISNUMBER(V304),AND(V304&gt;=1,V304&lt;=10,V304=INT(V304)),FALSE),IF(ISNUMBER(W304),AND(W304&gt;=1,W304&lt;=10,W304=INT(W304)),FALSE)),U304*V304*W304,"")</f>
        <v/>
      </c>
      <c r="Y304" s="54" t="str">
        <f>IF(X304="","",IF(OR(U304&gt;=p_gmin,X304&gt;=p_ipr_crit),"Critique",IF(X304&gt;=p_ipr_act,"Élevée",IF(X304&gt;=p_ipr_watch,"Moyenne","Faible"))))</f>
        <v/>
      </c>
      <c r="Z304" s="57" t="str">
        <f>IF(X304="","",(L304-X304)/L304)</f>
        <v/>
      </c>
      <c r="AA304" s="54" t="str">
        <f>IF(AND(D304="",O304=""),"",IF(O304="",IF(N304="Oui","Action à définir",IF(N304="Non","Sans action","")),IF(R304="Annulée","Annulée",IF(R304="Réalisée",IF(X304="","À réévaluer","Réalisée"),IF(N(Q304)=0,"Échéance manquante",IF(Q304&lt;p_today,"En retard",IF(Q304-p_today&lt;=p_alert,"Échéance proche","Dans les délais")))))))</f>
        <v/>
      </c>
      <c r="AB304" s="58" t="str">
        <f>IF(AND(A304="",B304="",D304="",F304="",H304="",K304="",O304=""),"",IF(D304="","Mode de défaillance manquant",IF(AND(A304&lt;&gt;"",COUNTIF(am_num,A304)&gt;1),"N° en double",IF(F304="","Gravité G manquante",IF(NOT(IF(ISNUMBER(F304),AND(F304&gt;=1,F304&lt;=10,F304=INT(F304)),FALSE)),"G : entier de 1 à 10",IF(H304="","Occurrence O manquante",IF(NOT(IF(ISNUMBER(H304),AND(H304&gt;=1,H304&lt;=10,H304=INT(H304)),FALSE)),"O : entier de 1 à 10",IF(K304="","Détection D manquante",IF(NOT(IF(ISNUMBER(K304),AND(K304&gt;=1,K304&lt;=10,K304=INT(K304)),FALSE)),"D : entier de 1 à 10",IF(G304="","Cause manquante",IF(AND(O304&lt;&gt;"",P304=""),"Responsable manquant",IF(AND(R304&lt;&gt;"",O304=""),"Statut sans action",IF(AND(R304="Réalisée",N(S304)=0),"Date de réalisation manquante",IF(AND(T304&lt;&gt;"",IF(ISNUMBER(T304),T304&lt;0,TRUE)),"Coût invalide",IF(AND(COUNTBLANK(U304:W304)&gt;0,COUNTBLANK(U304:W304)&lt;3),"Cotation après action incomplète",IF(AND(COUNTBLANK(U304:W304)=0,X304=""),"G', O', D' : entiers de 1 à 10",IF(AND(X304&lt;&gt;"",X304&gt;L304),"IPR après action plus élevé","OK")))))))))))))))))</f>
        <v/>
      </c>
      <c r="AC304" s="59" t="str">
        <f>IF(OR(AA304="En retard",AA304="Échéance proche",AA304="Dans les délais",AA304="Échéance manquante",AA304="Action à définir",AA304="À réévaluer"),IF(OR(plan_who="",P304=plan_who),IF(N(Q304)&gt;0,Q304,99999)*1000+ROW(),""),"")</f>
        <v/>
      </c>
      <c r="AD304" s="59" t="str">
        <f>IF(L304="","",L304*1000+1000-ROW())</f>
        <v/>
      </c>
      <c r="AE304" s="59" t="str">
        <f>IF(IF(AA304="En retard",1,IF(AA304="Action à définir",2,IF(AA304="Échéance manquante",3,IF(AA304="Échéance proche",4,IF(AA304="À réévaluer",5,0)))))=0,"",IF(AA304="En retard",1,IF(AA304="Action à définir",2,IF(AA304="Échéance manquante",3,IF(AA304="Échéance proche",4,IF(AA304="À réévaluer",5,0)))))*100000000+IF(N(Q304)&gt;0,Q304,99999)*1000+ROW())</f>
        <v/>
      </c>
      <c r="AF304" s="59" t="str">
        <f>IF(X304&lt;&gt;"",X304,L304)</f>
        <v/>
      </c>
      <c r="AG304" s="59" t="str">
        <f>IF(X304&lt;&gt;"",Y304,IF(L304&lt;&gt;"",M304,""))</f>
        <v/>
      </c>
      <c r="AH304" s="59" t="str">
        <f>IF(L304="","",IF(X304&lt;&gt;"",U304,F304))</f>
        <v/>
      </c>
      <c r="AI304" s="59" t="str">
        <f>IF(L304="","",IF(X304&lt;&gt;"",V304,H304))</f>
        <v/>
      </c>
    </row>
    <row r="305" ht="30" customHeight="1">
      <c r="A305" s="50" t="n"/>
      <c r="B305" s="51" t="n"/>
      <c r="C305" s="51" t="n"/>
      <c r="D305" s="51" t="n"/>
      <c r="E305" s="51" t="n"/>
      <c r="F305" s="52" t="n"/>
      <c r="G305" s="51" t="n"/>
      <c r="H305" s="52" t="n"/>
      <c r="I305" s="51" t="n"/>
      <c r="J305" s="51" t="n"/>
      <c r="K305" s="52" t="n"/>
      <c r="L305" s="53" t="str">
        <f>IF(AND(IF(ISNUMBER(F305),AND(F305&gt;=1,F305&lt;=10,F305=INT(F305)),FALSE),IF(ISNUMBER(H305),AND(H305&gt;=1,H305&lt;=10,H305=INT(H305)),FALSE),IF(ISNUMBER(K305),AND(K305&gt;=1,K305&lt;=10,K305=INT(K305)),FALSE)),F305*H305*K305,"")</f>
        <v/>
      </c>
      <c r="M305" s="54" t="str">
        <f>IF(L305="",IF(D305="","","À coter"),IF(OR(F305&gt;=p_gmin,L305&gt;=p_ipr_crit),"Critique",IF(L305&gt;=p_ipr_act,"Élevée",IF(L305&gt;=p_ipr_watch,"Moyenne","Faible"))))</f>
        <v/>
      </c>
      <c r="N305" s="54" t="str">
        <f>IF(OR(M305="",M305="À coter"),"",IF(OR(M305="Critique",M305="Élevée"),"Oui","Non"))</f>
        <v/>
      </c>
      <c r="O305" s="51" t="n"/>
      <c r="P305" s="51" t="n"/>
      <c r="Q305" s="55" t="n"/>
      <c r="R305" s="50" t="n"/>
      <c r="S305" s="55" t="n"/>
      <c r="T305" s="56" t="n"/>
      <c r="U305" s="52" t="n"/>
      <c r="V305" s="52" t="n"/>
      <c r="W305" s="52" t="n"/>
      <c r="X305" s="53" t="str">
        <f>IF(AND(L305&lt;&gt;"",IF(ISNUMBER(U305),AND(U305&gt;=1,U305&lt;=10,U305=INT(U305)),FALSE),IF(ISNUMBER(V305),AND(V305&gt;=1,V305&lt;=10,V305=INT(V305)),FALSE),IF(ISNUMBER(W305),AND(W305&gt;=1,W305&lt;=10,W305=INT(W305)),FALSE)),U305*V305*W305,"")</f>
        <v/>
      </c>
      <c r="Y305" s="54" t="str">
        <f>IF(X305="","",IF(OR(U305&gt;=p_gmin,X305&gt;=p_ipr_crit),"Critique",IF(X305&gt;=p_ipr_act,"Élevée",IF(X305&gt;=p_ipr_watch,"Moyenne","Faible"))))</f>
        <v/>
      </c>
      <c r="Z305" s="57" t="str">
        <f>IF(X305="","",(L305-X305)/L305)</f>
        <v/>
      </c>
      <c r="AA305" s="54" t="str">
        <f>IF(AND(D305="",O305=""),"",IF(O305="",IF(N305="Oui","Action à définir",IF(N305="Non","Sans action","")),IF(R305="Annulée","Annulée",IF(R305="Réalisée",IF(X305="","À réévaluer","Réalisée"),IF(N(Q305)=0,"Échéance manquante",IF(Q305&lt;p_today,"En retard",IF(Q305-p_today&lt;=p_alert,"Échéance proche","Dans les délais")))))))</f>
        <v/>
      </c>
      <c r="AB305" s="58" t="str">
        <f>IF(AND(A305="",B305="",D305="",F305="",H305="",K305="",O305=""),"",IF(D305="","Mode de défaillance manquant",IF(AND(A305&lt;&gt;"",COUNTIF(am_num,A305)&gt;1),"N° en double",IF(F305="","Gravité G manquante",IF(NOT(IF(ISNUMBER(F305),AND(F305&gt;=1,F305&lt;=10,F305=INT(F305)),FALSE)),"G : entier de 1 à 10",IF(H305="","Occurrence O manquante",IF(NOT(IF(ISNUMBER(H305),AND(H305&gt;=1,H305&lt;=10,H305=INT(H305)),FALSE)),"O : entier de 1 à 10",IF(K305="","Détection D manquante",IF(NOT(IF(ISNUMBER(K305),AND(K305&gt;=1,K305&lt;=10,K305=INT(K305)),FALSE)),"D : entier de 1 à 10",IF(G305="","Cause manquante",IF(AND(O305&lt;&gt;"",P305=""),"Responsable manquant",IF(AND(R305&lt;&gt;"",O305=""),"Statut sans action",IF(AND(R305="Réalisée",N(S305)=0),"Date de réalisation manquante",IF(AND(T305&lt;&gt;"",IF(ISNUMBER(T305),T305&lt;0,TRUE)),"Coût invalide",IF(AND(COUNTBLANK(U305:W305)&gt;0,COUNTBLANK(U305:W305)&lt;3),"Cotation après action incomplète",IF(AND(COUNTBLANK(U305:W305)=0,X305=""),"G', O', D' : entiers de 1 à 10",IF(AND(X305&lt;&gt;"",X305&gt;L305),"IPR après action plus élevé","OK")))))))))))))))))</f>
        <v/>
      </c>
      <c r="AC305" s="59" t="str">
        <f>IF(OR(AA305="En retard",AA305="Échéance proche",AA305="Dans les délais",AA305="Échéance manquante",AA305="Action à définir",AA305="À réévaluer"),IF(OR(plan_who="",P305=plan_who),IF(N(Q305)&gt;0,Q305,99999)*1000+ROW(),""),"")</f>
        <v/>
      </c>
      <c r="AD305" s="59" t="str">
        <f>IF(L305="","",L305*1000+1000-ROW())</f>
        <v/>
      </c>
      <c r="AE305" s="59" t="str">
        <f>IF(IF(AA305="En retard",1,IF(AA305="Action à définir",2,IF(AA305="Échéance manquante",3,IF(AA305="Échéance proche",4,IF(AA305="À réévaluer",5,0)))))=0,"",IF(AA305="En retard",1,IF(AA305="Action à définir",2,IF(AA305="Échéance manquante",3,IF(AA305="Échéance proche",4,IF(AA305="À réévaluer",5,0)))))*100000000+IF(N(Q305)&gt;0,Q305,99999)*1000+ROW())</f>
        <v/>
      </c>
      <c r="AF305" s="59" t="str">
        <f>IF(X305&lt;&gt;"",X305,L305)</f>
        <v/>
      </c>
      <c r="AG305" s="59" t="str">
        <f>IF(X305&lt;&gt;"",Y305,IF(L305&lt;&gt;"",M305,""))</f>
        <v/>
      </c>
      <c r="AH305" s="59" t="str">
        <f>IF(L305="","",IF(X305&lt;&gt;"",U305,F305))</f>
        <v/>
      </c>
      <c r="AI305" s="59" t="str">
        <f>IF(L305="","",IF(X305&lt;&gt;"",V305,H305))</f>
        <v/>
      </c>
    </row>
    <row r="306" ht="30" customHeight="1">
      <c r="A306" s="50" t="n"/>
      <c r="B306" s="51" t="n"/>
      <c r="C306" s="51" t="n"/>
      <c r="D306" s="51" t="n"/>
      <c r="E306" s="51" t="n"/>
      <c r="F306" s="52" t="n"/>
      <c r="G306" s="51" t="n"/>
      <c r="H306" s="52" t="n"/>
      <c r="I306" s="51" t="n"/>
      <c r="J306" s="51" t="n"/>
      <c r="K306" s="52" t="n"/>
      <c r="L306" s="53" t="str">
        <f>IF(AND(IF(ISNUMBER(F306),AND(F306&gt;=1,F306&lt;=10,F306=INT(F306)),FALSE),IF(ISNUMBER(H306),AND(H306&gt;=1,H306&lt;=10,H306=INT(H306)),FALSE),IF(ISNUMBER(K306),AND(K306&gt;=1,K306&lt;=10,K306=INT(K306)),FALSE)),F306*H306*K306,"")</f>
        <v/>
      </c>
      <c r="M306" s="54" t="str">
        <f>IF(L306="",IF(D306="","","À coter"),IF(OR(F306&gt;=p_gmin,L306&gt;=p_ipr_crit),"Critique",IF(L306&gt;=p_ipr_act,"Élevée",IF(L306&gt;=p_ipr_watch,"Moyenne","Faible"))))</f>
        <v/>
      </c>
      <c r="N306" s="54" t="str">
        <f>IF(OR(M306="",M306="À coter"),"",IF(OR(M306="Critique",M306="Élevée"),"Oui","Non"))</f>
        <v/>
      </c>
      <c r="O306" s="51" t="n"/>
      <c r="P306" s="51" t="n"/>
      <c r="Q306" s="55" t="n"/>
      <c r="R306" s="50" t="n"/>
      <c r="S306" s="55" t="n"/>
      <c r="T306" s="56" t="n"/>
      <c r="U306" s="52" t="n"/>
      <c r="V306" s="52" t="n"/>
      <c r="W306" s="52" t="n"/>
      <c r="X306" s="53" t="str">
        <f>IF(AND(L306&lt;&gt;"",IF(ISNUMBER(U306),AND(U306&gt;=1,U306&lt;=10,U306=INT(U306)),FALSE),IF(ISNUMBER(V306),AND(V306&gt;=1,V306&lt;=10,V306=INT(V306)),FALSE),IF(ISNUMBER(W306),AND(W306&gt;=1,W306&lt;=10,W306=INT(W306)),FALSE)),U306*V306*W306,"")</f>
        <v/>
      </c>
      <c r="Y306" s="54" t="str">
        <f>IF(X306="","",IF(OR(U306&gt;=p_gmin,X306&gt;=p_ipr_crit),"Critique",IF(X306&gt;=p_ipr_act,"Élevée",IF(X306&gt;=p_ipr_watch,"Moyenne","Faible"))))</f>
        <v/>
      </c>
      <c r="Z306" s="57" t="str">
        <f>IF(X306="","",(L306-X306)/L306)</f>
        <v/>
      </c>
      <c r="AA306" s="54" t="str">
        <f>IF(AND(D306="",O306=""),"",IF(O306="",IF(N306="Oui","Action à définir",IF(N306="Non","Sans action","")),IF(R306="Annulée","Annulée",IF(R306="Réalisée",IF(X306="","À réévaluer","Réalisée"),IF(N(Q306)=0,"Échéance manquante",IF(Q306&lt;p_today,"En retard",IF(Q306-p_today&lt;=p_alert,"Échéance proche","Dans les délais")))))))</f>
        <v/>
      </c>
      <c r="AB306" s="58" t="str">
        <f>IF(AND(A306="",B306="",D306="",F306="",H306="",K306="",O306=""),"",IF(D306="","Mode de défaillance manquant",IF(AND(A306&lt;&gt;"",COUNTIF(am_num,A306)&gt;1),"N° en double",IF(F306="","Gravité G manquante",IF(NOT(IF(ISNUMBER(F306),AND(F306&gt;=1,F306&lt;=10,F306=INT(F306)),FALSE)),"G : entier de 1 à 10",IF(H306="","Occurrence O manquante",IF(NOT(IF(ISNUMBER(H306),AND(H306&gt;=1,H306&lt;=10,H306=INT(H306)),FALSE)),"O : entier de 1 à 10",IF(K306="","Détection D manquante",IF(NOT(IF(ISNUMBER(K306),AND(K306&gt;=1,K306&lt;=10,K306=INT(K306)),FALSE)),"D : entier de 1 à 10",IF(G306="","Cause manquante",IF(AND(O306&lt;&gt;"",P306=""),"Responsable manquant",IF(AND(R306&lt;&gt;"",O306=""),"Statut sans action",IF(AND(R306="Réalisée",N(S306)=0),"Date de réalisation manquante",IF(AND(T306&lt;&gt;"",IF(ISNUMBER(T306),T306&lt;0,TRUE)),"Coût invalide",IF(AND(COUNTBLANK(U306:W306)&gt;0,COUNTBLANK(U306:W306)&lt;3),"Cotation après action incomplète",IF(AND(COUNTBLANK(U306:W306)=0,X306=""),"G', O', D' : entiers de 1 à 10",IF(AND(X306&lt;&gt;"",X306&gt;L306),"IPR après action plus élevé","OK")))))))))))))))))</f>
        <v/>
      </c>
      <c r="AC306" s="59" t="str">
        <f>IF(OR(AA306="En retard",AA306="Échéance proche",AA306="Dans les délais",AA306="Échéance manquante",AA306="Action à définir",AA306="À réévaluer"),IF(OR(plan_who="",P306=plan_who),IF(N(Q306)&gt;0,Q306,99999)*1000+ROW(),""),"")</f>
        <v/>
      </c>
      <c r="AD306" s="59" t="str">
        <f>IF(L306="","",L306*1000+1000-ROW())</f>
        <v/>
      </c>
      <c r="AE306" s="59" t="str">
        <f>IF(IF(AA306="En retard",1,IF(AA306="Action à définir",2,IF(AA306="Échéance manquante",3,IF(AA306="Échéance proche",4,IF(AA306="À réévaluer",5,0)))))=0,"",IF(AA306="En retard",1,IF(AA306="Action à définir",2,IF(AA306="Échéance manquante",3,IF(AA306="Échéance proche",4,IF(AA306="À réévaluer",5,0)))))*100000000+IF(N(Q306)&gt;0,Q306,99999)*1000+ROW())</f>
        <v/>
      </c>
      <c r="AF306" s="59" t="str">
        <f>IF(X306&lt;&gt;"",X306,L306)</f>
        <v/>
      </c>
      <c r="AG306" s="59" t="str">
        <f>IF(X306&lt;&gt;"",Y306,IF(L306&lt;&gt;"",M306,""))</f>
        <v/>
      </c>
      <c r="AH306" s="59" t="str">
        <f>IF(L306="","",IF(X306&lt;&gt;"",U306,F306))</f>
        <v/>
      </c>
      <c r="AI306" s="59" t="str">
        <f>IF(L306="","",IF(X306&lt;&gt;"",V306,H306))</f>
        <v/>
      </c>
    </row>
    <row r="307" ht="30" customHeight="1">
      <c r="A307" s="50" t="n"/>
      <c r="B307" s="51" t="n"/>
      <c r="C307" s="51" t="n"/>
      <c r="D307" s="51" t="n"/>
      <c r="E307" s="51" t="n"/>
      <c r="F307" s="52" t="n"/>
      <c r="G307" s="51" t="n"/>
      <c r="H307" s="52" t="n"/>
      <c r="I307" s="51" t="n"/>
      <c r="J307" s="51" t="n"/>
      <c r="K307" s="52" t="n"/>
      <c r="L307" s="53" t="str">
        <f>IF(AND(IF(ISNUMBER(F307),AND(F307&gt;=1,F307&lt;=10,F307=INT(F307)),FALSE),IF(ISNUMBER(H307),AND(H307&gt;=1,H307&lt;=10,H307=INT(H307)),FALSE),IF(ISNUMBER(K307),AND(K307&gt;=1,K307&lt;=10,K307=INT(K307)),FALSE)),F307*H307*K307,"")</f>
        <v/>
      </c>
      <c r="M307" s="54" t="str">
        <f>IF(L307="",IF(D307="","","À coter"),IF(OR(F307&gt;=p_gmin,L307&gt;=p_ipr_crit),"Critique",IF(L307&gt;=p_ipr_act,"Élevée",IF(L307&gt;=p_ipr_watch,"Moyenne","Faible"))))</f>
        <v/>
      </c>
      <c r="N307" s="54" t="str">
        <f>IF(OR(M307="",M307="À coter"),"",IF(OR(M307="Critique",M307="Élevée"),"Oui","Non"))</f>
        <v/>
      </c>
      <c r="O307" s="51" t="n"/>
      <c r="P307" s="51" t="n"/>
      <c r="Q307" s="55" t="n"/>
      <c r="R307" s="50" t="n"/>
      <c r="S307" s="55" t="n"/>
      <c r="T307" s="56" t="n"/>
      <c r="U307" s="52" t="n"/>
      <c r="V307" s="52" t="n"/>
      <c r="W307" s="52" t="n"/>
      <c r="X307" s="53" t="str">
        <f>IF(AND(L307&lt;&gt;"",IF(ISNUMBER(U307),AND(U307&gt;=1,U307&lt;=10,U307=INT(U307)),FALSE),IF(ISNUMBER(V307),AND(V307&gt;=1,V307&lt;=10,V307=INT(V307)),FALSE),IF(ISNUMBER(W307),AND(W307&gt;=1,W307&lt;=10,W307=INT(W307)),FALSE)),U307*V307*W307,"")</f>
        <v/>
      </c>
      <c r="Y307" s="54" t="str">
        <f>IF(X307="","",IF(OR(U307&gt;=p_gmin,X307&gt;=p_ipr_crit),"Critique",IF(X307&gt;=p_ipr_act,"Élevée",IF(X307&gt;=p_ipr_watch,"Moyenne","Faible"))))</f>
        <v/>
      </c>
      <c r="Z307" s="57" t="str">
        <f>IF(X307="","",(L307-X307)/L307)</f>
        <v/>
      </c>
      <c r="AA307" s="54" t="str">
        <f>IF(AND(D307="",O307=""),"",IF(O307="",IF(N307="Oui","Action à définir",IF(N307="Non","Sans action","")),IF(R307="Annulée","Annulée",IF(R307="Réalisée",IF(X307="","À réévaluer","Réalisée"),IF(N(Q307)=0,"Échéance manquante",IF(Q307&lt;p_today,"En retard",IF(Q307-p_today&lt;=p_alert,"Échéance proche","Dans les délais")))))))</f>
        <v/>
      </c>
      <c r="AB307" s="58" t="str">
        <f>IF(AND(A307="",B307="",D307="",F307="",H307="",K307="",O307=""),"",IF(D307="","Mode de défaillance manquant",IF(AND(A307&lt;&gt;"",COUNTIF(am_num,A307)&gt;1),"N° en double",IF(F307="","Gravité G manquante",IF(NOT(IF(ISNUMBER(F307),AND(F307&gt;=1,F307&lt;=10,F307=INT(F307)),FALSE)),"G : entier de 1 à 10",IF(H307="","Occurrence O manquante",IF(NOT(IF(ISNUMBER(H307),AND(H307&gt;=1,H307&lt;=10,H307=INT(H307)),FALSE)),"O : entier de 1 à 10",IF(K307="","Détection D manquante",IF(NOT(IF(ISNUMBER(K307),AND(K307&gt;=1,K307&lt;=10,K307=INT(K307)),FALSE)),"D : entier de 1 à 10",IF(G307="","Cause manquante",IF(AND(O307&lt;&gt;"",P307=""),"Responsable manquant",IF(AND(R307&lt;&gt;"",O307=""),"Statut sans action",IF(AND(R307="Réalisée",N(S307)=0),"Date de réalisation manquante",IF(AND(T307&lt;&gt;"",IF(ISNUMBER(T307),T307&lt;0,TRUE)),"Coût invalide",IF(AND(COUNTBLANK(U307:W307)&gt;0,COUNTBLANK(U307:W307)&lt;3),"Cotation après action incomplète",IF(AND(COUNTBLANK(U307:W307)=0,X307=""),"G', O', D' : entiers de 1 à 10",IF(AND(X307&lt;&gt;"",X307&gt;L307),"IPR après action plus élevé","OK")))))))))))))))))</f>
        <v/>
      </c>
      <c r="AC307" s="59" t="str">
        <f>IF(OR(AA307="En retard",AA307="Échéance proche",AA307="Dans les délais",AA307="Échéance manquante",AA307="Action à définir",AA307="À réévaluer"),IF(OR(plan_who="",P307=plan_who),IF(N(Q307)&gt;0,Q307,99999)*1000+ROW(),""),"")</f>
        <v/>
      </c>
      <c r="AD307" s="59" t="str">
        <f>IF(L307="","",L307*1000+1000-ROW())</f>
        <v/>
      </c>
      <c r="AE307" s="59" t="str">
        <f>IF(IF(AA307="En retard",1,IF(AA307="Action à définir",2,IF(AA307="Échéance manquante",3,IF(AA307="Échéance proche",4,IF(AA307="À réévaluer",5,0)))))=0,"",IF(AA307="En retard",1,IF(AA307="Action à définir",2,IF(AA307="Échéance manquante",3,IF(AA307="Échéance proche",4,IF(AA307="À réévaluer",5,0)))))*100000000+IF(N(Q307)&gt;0,Q307,99999)*1000+ROW())</f>
        <v/>
      </c>
      <c r="AF307" s="59" t="str">
        <f>IF(X307&lt;&gt;"",X307,L307)</f>
        <v/>
      </c>
      <c r="AG307" s="59" t="str">
        <f>IF(X307&lt;&gt;"",Y307,IF(L307&lt;&gt;"",M307,""))</f>
        <v/>
      </c>
      <c r="AH307" s="59" t="str">
        <f>IF(L307="","",IF(X307&lt;&gt;"",U307,F307))</f>
        <v/>
      </c>
      <c r="AI307" s="59" t="str">
        <f>IF(L307="","",IF(X307&lt;&gt;"",V307,H307))</f>
        <v/>
      </c>
    </row>
    <row r="308" ht="30" customHeight="1">
      <c r="A308" s="50" t="n"/>
      <c r="B308" s="51" t="n"/>
      <c r="C308" s="51" t="n"/>
      <c r="D308" s="51" t="n"/>
      <c r="E308" s="51" t="n"/>
      <c r="F308" s="52" t="n"/>
      <c r="G308" s="51" t="n"/>
      <c r="H308" s="52" t="n"/>
      <c r="I308" s="51" t="n"/>
      <c r="J308" s="51" t="n"/>
      <c r="K308" s="52" t="n"/>
      <c r="L308" s="53" t="str">
        <f>IF(AND(IF(ISNUMBER(F308),AND(F308&gt;=1,F308&lt;=10,F308=INT(F308)),FALSE),IF(ISNUMBER(H308),AND(H308&gt;=1,H308&lt;=10,H308=INT(H308)),FALSE),IF(ISNUMBER(K308),AND(K308&gt;=1,K308&lt;=10,K308=INT(K308)),FALSE)),F308*H308*K308,"")</f>
        <v/>
      </c>
      <c r="M308" s="54" t="str">
        <f>IF(L308="",IF(D308="","","À coter"),IF(OR(F308&gt;=p_gmin,L308&gt;=p_ipr_crit),"Critique",IF(L308&gt;=p_ipr_act,"Élevée",IF(L308&gt;=p_ipr_watch,"Moyenne","Faible"))))</f>
        <v/>
      </c>
      <c r="N308" s="54" t="str">
        <f>IF(OR(M308="",M308="À coter"),"",IF(OR(M308="Critique",M308="Élevée"),"Oui","Non"))</f>
        <v/>
      </c>
      <c r="O308" s="51" t="n"/>
      <c r="P308" s="51" t="n"/>
      <c r="Q308" s="55" t="n"/>
      <c r="R308" s="50" t="n"/>
      <c r="S308" s="55" t="n"/>
      <c r="T308" s="56" t="n"/>
      <c r="U308" s="52" t="n"/>
      <c r="V308" s="52" t="n"/>
      <c r="W308" s="52" t="n"/>
      <c r="X308" s="53" t="str">
        <f>IF(AND(L308&lt;&gt;"",IF(ISNUMBER(U308),AND(U308&gt;=1,U308&lt;=10,U308=INT(U308)),FALSE),IF(ISNUMBER(V308),AND(V308&gt;=1,V308&lt;=10,V308=INT(V308)),FALSE),IF(ISNUMBER(W308),AND(W308&gt;=1,W308&lt;=10,W308=INT(W308)),FALSE)),U308*V308*W308,"")</f>
        <v/>
      </c>
      <c r="Y308" s="54" t="str">
        <f>IF(X308="","",IF(OR(U308&gt;=p_gmin,X308&gt;=p_ipr_crit),"Critique",IF(X308&gt;=p_ipr_act,"Élevée",IF(X308&gt;=p_ipr_watch,"Moyenne","Faible"))))</f>
        <v/>
      </c>
      <c r="Z308" s="57" t="str">
        <f>IF(X308="","",(L308-X308)/L308)</f>
        <v/>
      </c>
      <c r="AA308" s="54" t="str">
        <f>IF(AND(D308="",O308=""),"",IF(O308="",IF(N308="Oui","Action à définir",IF(N308="Non","Sans action","")),IF(R308="Annulée","Annulée",IF(R308="Réalisée",IF(X308="","À réévaluer","Réalisée"),IF(N(Q308)=0,"Échéance manquante",IF(Q308&lt;p_today,"En retard",IF(Q308-p_today&lt;=p_alert,"Échéance proche","Dans les délais")))))))</f>
        <v/>
      </c>
      <c r="AB308" s="58" t="str">
        <f>IF(AND(A308="",B308="",D308="",F308="",H308="",K308="",O308=""),"",IF(D308="","Mode de défaillance manquant",IF(AND(A308&lt;&gt;"",COUNTIF(am_num,A308)&gt;1),"N° en double",IF(F308="","Gravité G manquante",IF(NOT(IF(ISNUMBER(F308),AND(F308&gt;=1,F308&lt;=10,F308=INT(F308)),FALSE)),"G : entier de 1 à 10",IF(H308="","Occurrence O manquante",IF(NOT(IF(ISNUMBER(H308),AND(H308&gt;=1,H308&lt;=10,H308=INT(H308)),FALSE)),"O : entier de 1 à 10",IF(K308="","Détection D manquante",IF(NOT(IF(ISNUMBER(K308),AND(K308&gt;=1,K308&lt;=10,K308=INT(K308)),FALSE)),"D : entier de 1 à 10",IF(G308="","Cause manquante",IF(AND(O308&lt;&gt;"",P308=""),"Responsable manquant",IF(AND(R308&lt;&gt;"",O308=""),"Statut sans action",IF(AND(R308="Réalisée",N(S308)=0),"Date de réalisation manquante",IF(AND(T308&lt;&gt;"",IF(ISNUMBER(T308),T308&lt;0,TRUE)),"Coût invalide",IF(AND(COUNTBLANK(U308:W308)&gt;0,COUNTBLANK(U308:W308)&lt;3),"Cotation après action incomplète",IF(AND(COUNTBLANK(U308:W308)=0,X308=""),"G', O', D' : entiers de 1 à 10",IF(AND(X308&lt;&gt;"",X308&gt;L308),"IPR après action plus élevé","OK")))))))))))))))))</f>
        <v/>
      </c>
      <c r="AC308" s="59" t="str">
        <f>IF(OR(AA308="En retard",AA308="Échéance proche",AA308="Dans les délais",AA308="Échéance manquante",AA308="Action à définir",AA308="À réévaluer"),IF(OR(plan_who="",P308=plan_who),IF(N(Q308)&gt;0,Q308,99999)*1000+ROW(),""),"")</f>
        <v/>
      </c>
      <c r="AD308" s="59" t="str">
        <f>IF(L308="","",L308*1000+1000-ROW())</f>
        <v/>
      </c>
      <c r="AE308" s="59" t="str">
        <f>IF(IF(AA308="En retard",1,IF(AA308="Action à définir",2,IF(AA308="Échéance manquante",3,IF(AA308="Échéance proche",4,IF(AA308="À réévaluer",5,0)))))=0,"",IF(AA308="En retard",1,IF(AA308="Action à définir",2,IF(AA308="Échéance manquante",3,IF(AA308="Échéance proche",4,IF(AA308="À réévaluer",5,0)))))*100000000+IF(N(Q308)&gt;0,Q308,99999)*1000+ROW())</f>
        <v/>
      </c>
      <c r="AF308" s="59" t="str">
        <f>IF(X308&lt;&gt;"",X308,L308)</f>
        <v/>
      </c>
      <c r="AG308" s="59" t="str">
        <f>IF(X308&lt;&gt;"",Y308,IF(L308&lt;&gt;"",M308,""))</f>
        <v/>
      </c>
      <c r="AH308" s="59" t="str">
        <f>IF(L308="","",IF(X308&lt;&gt;"",U308,F308))</f>
        <v/>
      </c>
      <c r="AI308" s="59" t="str">
        <f>IF(L308="","",IF(X308&lt;&gt;"",V308,H308))</f>
        <v/>
      </c>
    </row>
    <row r="309" ht="30" customHeight="1">
      <c r="A309" s="50" t="n"/>
      <c r="B309" s="51" t="n"/>
      <c r="C309" s="51" t="n"/>
      <c r="D309" s="51" t="n"/>
      <c r="E309" s="51" t="n"/>
      <c r="F309" s="52" t="n"/>
      <c r="G309" s="51" t="n"/>
      <c r="H309" s="52" t="n"/>
      <c r="I309" s="51" t="n"/>
      <c r="J309" s="51" t="n"/>
      <c r="K309" s="52" t="n"/>
      <c r="L309" s="53" t="str">
        <f>IF(AND(IF(ISNUMBER(F309),AND(F309&gt;=1,F309&lt;=10,F309=INT(F309)),FALSE),IF(ISNUMBER(H309),AND(H309&gt;=1,H309&lt;=10,H309=INT(H309)),FALSE),IF(ISNUMBER(K309),AND(K309&gt;=1,K309&lt;=10,K309=INT(K309)),FALSE)),F309*H309*K309,"")</f>
        <v/>
      </c>
      <c r="M309" s="54" t="str">
        <f>IF(L309="",IF(D309="","","À coter"),IF(OR(F309&gt;=p_gmin,L309&gt;=p_ipr_crit),"Critique",IF(L309&gt;=p_ipr_act,"Élevée",IF(L309&gt;=p_ipr_watch,"Moyenne","Faible"))))</f>
        <v/>
      </c>
      <c r="N309" s="54" t="str">
        <f>IF(OR(M309="",M309="À coter"),"",IF(OR(M309="Critique",M309="Élevée"),"Oui","Non"))</f>
        <v/>
      </c>
      <c r="O309" s="51" t="n"/>
      <c r="P309" s="51" t="n"/>
      <c r="Q309" s="55" t="n"/>
      <c r="R309" s="50" t="n"/>
      <c r="S309" s="55" t="n"/>
      <c r="T309" s="56" t="n"/>
      <c r="U309" s="52" t="n"/>
      <c r="V309" s="52" t="n"/>
      <c r="W309" s="52" t="n"/>
      <c r="X309" s="53" t="str">
        <f>IF(AND(L309&lt;&gt;"",IF(ISNUMBER(U309),AND(U309&gt;=1,U309&lt;=10,U309=INT(U309)),FALSE),IF(ISNUMBER(V309),AND(V309&gt;=1,V309&lt;=10,V309=INT(V309)),FALSE),IF(ISNUMBER(W309),AND(W309&gt;=1,W309&lt;=10,W309=INT(W309)),FALSE)),U309*V309*W309,"")</f>
        <v/>
      </c>
      <c r="Y309" s="54" t="str">
        <f>IF(X309="","",IF(OR(U309&gt;=p_gmin,X309&gt;=p_ipr_crit),"Critique",IF(X309&gt;=p_ipr_act,"Élevée",IF(X309&gt;=p_ipr_watch,"Moyenne","Faible"))))</f>
        <v/>
      </c>
      <c r="Z309" s="57" t="str">
        <f>IF(X309="","",(L309-X309)/L309)</f>
        <v/>
      </c>
      <c r="AA309" s="54" t="str">
        <f>IF(AND(D309="",O309=""),"",IF(O309="",IF(N309="Oui","Action à définir",IF(N309="Non","Sans action","")),IF(R309="Annulée","Annulée",IF(R309="Réalisée",IF(X309="","À réévaluer","Réalisée"),IF(N(Q309)=0,"Échéance manquante",IF(Q309&lt;p_today,"En retard",IF(Q309-p_today&lt;=p_alert,"Échéance proche","Dans les délais")))))))</f>
        <v/>
      </c>
      <c r="AB309" s="58" t="str">
        <f>IF(AND(A309="",B309="",D309="",F309="",H309="",K309="",O309=""),"",IF(D309="","Mode de défaillance manquant",IF(AND(A309&lt;&gt;"",COUNTIF(am_num,A309)&gt;1),"N° en double",IF(F309="","Gravité G manquante",IF(NOT(IF(ISNUMBER(F309),AND(F309&gt;=1,F309&lt;=10,F309=INT(F309)),FALSE)),"G : entier de 1 à 10",IF(H309="","Occurrence O manquante",IF(NOT(IF(ISNUMBER(H309),AND(H309&gt;=1,H309&lt;=10,H309=INT(H309)),FALSE)),"O : entier de 1 à 10",IF(K309="","Détection D manquante",IF(NOT(IF(ISNUMBER(K309),AND(K309&gt;=1,K309&lt;=10,K309=INT(K309)),FALSE)),"D : entier de 1 à 10",IF(G309="","Cause manquante",IF(AND(O309&lt;&gt;"",P309=""),"Responsable manquant",IF(AND(R309&lt;&gt;"",O309=""),"Statut sans action",IF(AND(R309="Réalisée",N(S309)=0),"Date de réalisation manquante",IF(AND(T309&lt;&gt;"",IF(ISNUMBER(T309),T309&lt;0,TRUE)),"Coût invalide",IF(AND(COUNTBLANK(U309:W309)&gt;0,COUNTBLANK(U309:W309)&lt;3),"Cotation après action incomplète",IF(AND(COUNTBLANK(U309:W309)=0,X309=""),"G', O', D' : entiers de 1 à 10",IF(AND(X309&lt;&gt;"",X309&gt;L309),"IPR après action plus élevé","OK")))))))))))))))))</f>
        <v/>
      </c>
      <c r="AC309" s="59" t="str">
        <f>IF(OR(AA309="En retard",AA309="Échéance proche",AA309="Dans les délais",AA309="Échéance manquante",AA309="Action à définir",AA309="À réévaluer"),IF(OR(plan_who="",P309=plan_who),IF(N(Q309)&gt;0,Q309,99999)*1000+ROW(),""),"")</f>
        <v/>
      </c>
      <c r="AD309" s="59" t="str">
        <f>IF(L309="","",L309*1000+1000-ROW())</f>
        <v/>
      </c>
      <c r="AE309" s="59" t="str">
        <f>IF(IF(AA309="En retard",1,IF(AA309="Action à définir",2,IF(AA309="Échéance manquante",3,IF(AA309="Échéance proche",4,IF(AA309="À réévaluer",5,0)))))=0,"",IF(AA309="En retard",1,IF(AA309="Action à définir",2,IF(AA309="Échéance manquante",3,IF(AA309="Échéance proche",4,IF(AA309="À réévaluer",5,0)))))*100000000+IF(N(Q309)&gt;0,Q309,99999)*1000+ROW())</f>
        <v/>
      </c>
      <c r="AF309" s="59" t="str">
        <f>IF(X309&lt;&gt;"",X309,L309)</f>
        <v/>
      </c>
      <c r="AG309" s="59" t="str">
        <f>IF(X309&lt;&gt;"",Y309,IF(L309&lt;&gt;"",M309,""))</f>
        <v/>
      </c>
      <c r="AH309" s="59" t="str">
        <f>IF(L309="","",IF(X309&lt;&gt;"",U309,F309))</f>
        <v/>
      </c>
      <c r="AI309" s="59" t="str">
        <f>IF(L309="","",IF(X309&lt;&gt;"",V309,H309))</f>
        <v/>
      </c>
    </row>
    <row r="310" ht="30" customHeight="1">
      <c r="A310" s="50" t="n"/>
      <c r="B310" s="51" t="n"/>
      <c r="C310" s="51" t="n"/>
      <c r="D310" s="51" t="n"/>
      <c r="E310" s="51" t="n"/>
      <c r="F310" s="52" t="n"/>
      <c r="G310" s="51" t="n"/>
      <c r="H310" s="52" t="n"/>
      <c r="I310" s="51" t="n"/>
      <c r="J310" s="51" t="n"/>
      <c r="K310" s="52" t="n"/>
      <c r="L310" s="53" t="str">
        <f>IF(AND(IF(ISNUMBER(F310),AND(F310&gt;=1,F310&lt;=10,F310=INT(F310)),FALSE),IF(ISNUMBER(H310),AND(H310&gt;=1,H310&lt;=10,H310=INT(H310)),FALSE),IF(ISNUMBER(K310),AND(K310&gt;=1,K310&lt;=10,K310=INT(K310)),FALSE)),F310*H310*K310,"")</f>
        <v/>
      </c>
      <c r="M310" s="54" t="str">
        <f>IF(L310="",IF(D310="","","À coter"),IF(OR(F310&gt;=p_gmin,L310&gt;=p_ipr_crit),"Critique",IF(L310&gt;=p_ipr_act,"Élevée",IF(L310&gt;=p_ipr_watch,"Moyenne","Faible"))))</f>
        <v/>
      </c>
      <c r="N310" s="54" t="str">
        <f>IF(OR(M310="",M310="À coter"),"",IF(OR(M310="Critique",M310="Élevée"),"Oui","Non"))</f>
        <v/>
      </c>
      <c r="O310" s="51" t="n"/>
      <c r="P310" s="51" t="n"/>
      <c r="Q310" s="55" t="n"/>
      <c r="R310" s="50" t="n"/>
      <c r="S310" s="55" t="n"/>
      <c r="T310" s="56" t="n"/>
      <c r="U310" s="52" t="n"/>
      <c r="V310" s="52" t="n"/>
      <c r="W310" s="52" t="n"/>
      <c r="X310" s="53" t="str">
        <f>IF(AND(L310&lt;&gt;"",IF(ISNUMBER(U310),AND(U310&gt;=1,U310&lt;=10,U310=INT(U310)),FALSE),IF(ISNUMBER(V310),AND(V310&gt;=1,V310&lt;=10,V310=INT(V310)),FALSE),IF(ISNUMBER(W310),AND(W310&gt;=1,W310&lt;=10,W310=INT(W310)),FALSE)),U310*V310*W310,"")</f>
        <v/>
      </c>
      <c r="Y310" s="54" t="str">
        <f>IF(X310="","",IF(OR(U310&gt;=p_gmin,X310&gt;=p_ipr_crit),"Critique",IF(X310&gt;=p_ipr_act,"Élevée",IF(X310&gt;=p_ipr_watch,"Moyenne","Faible"))))</f>
        <v/>
      </c>
      <c r="Z310" s="57" t="str">
        <f>IF(X310="","",(L310-X310)/L310)</f>
        <v/>
      </c>
      <c r="AA310" s="54" t="str">
        <f>IF(AND(D310="",O310=""),"",IF(O310="",IF(N310="Oui","Action à définir",IF(N310="Non","Sans action","")),IF(R310="Annulée","Annulée",IF(R310="Réalisée",IF(X310="","À réévaluer","Réalisée"),IF(N(Q310)=0,"Échéance manquante",IF(Q310&lt;p_today,"En retard",IF(Q310-p_today&lt;=p_alert,"Échéance proche","Dans les délais")))))))</f>
        <v/>
      </c>
      <c r="AB310" s="58" t="str">
        <f>IF(AND(A310="",B310="",D310="",F310="",H310="",K310="",O310=""),"",IF(D310="","Mode de défaillance manquant",IF(AND(A310&lt;&gt;"",COUNTIF(am_num,A310)&gt;1),"N° en double",IF(F310="","Gravité G manquante",IF(NOT(IF(ISNUMBER(F310),AND(F310&gt;=1,F310&lt;=10,F310=INT(F310)),FALSE)),"G : entier de 1 à 10",IF(H310="","Occurrence O manquante",IF(NOT(IF(ISNUMBER(H310),AND(H310&gt;=1,H310&lt;=10,H310=INT(H310)),FALSE)),"O : entier de 1 à 10",IF(K310="","Détection D manquante",IF(NOT(IF(ISNUMBER(K310),AND(K310&gt;=1,K310&lt;=10,K310=INT(K310)),FALSE)),"D : entier de 1 à 10",IF(G310="","Cause manquante",IF(AND(O310&lt;&gt;"",P310=""),"Responsable manquant",IF(AND(R310&lt;&gt;"",O310=""),"Statut sans action",IF(AND(R310="Réalisée",N(S310)=0),"Date de réalisation manquante",IF(AND(T310&lt;&gt;"",IF(ISNUMBER(T310),T310&lt;0,TRUE)),"Coût invalide",IF(AND(COUNTBLANK(U310:W310)&gt;0,COUNTBLANK(U310:W310)&lt;3),"Cotation après action incomplète",IF(AND(COUNTBLANK(U310:W310)=0,X310=""),"G', O', D' : entiers de 1 à 10",IF(AND(X310&lt;&gt;"",X310&gt;L310),"IPR après action plus élevé","OK")))))))))))))))))</f>
        <v/>
      </c>
      <c r="AC310" s="59" t="str">
        <f>IF(OR(AA310="En retard",AA310="Échéance proche",AA310="Dans les délais",AA310="Échéance manquante",AA310="Action à définir",AA310="À réévaluer"),IF(OR(plan_who="",P310=plan_who),IF(N(Q310)&gt;0,Q310,99999)*1000+ROW(),""),"")</f>
        <v/>
      </c>
      <c r="AD310" s="59" t="str">
        <f>IF(L310="","",L310*1000+1000-ROW())</f>
        <v/>
      </c>
      <c r="AE310" s="59" t="str">
        <f>IF(IF(AA310="En retard",1,IF(AA310="Action à définir",2,IF(AA310="Échéance manquante",3,IF(AA310="Échéance proche",4,IF(AA310="À réévaluer",5,0)))))=0,"",IF(AA310="En retard",1,IF(AA310="Action à définir",2,IF(AA310="Échéance manquante",3,IF(AA310="Échéance proche",4,IF(AA310="À réévaluer",5,0)))))*100000000+IF(N(Q310)&gt;0,Q310,99999)*1000+ROW())</f>
        <v/>
      </c>
      <c r="AF310" s="59" t="str">
        <f>IF(X310&lt;&gt;"",X310,L310)</f>
        <v/>
      </c>
      <c r="AG310" s="59" t="str">
        <f>IF(X310&lt;&gt;"",Y310,IF(L310&lt;&gt;"",M310,""))</f>
        <v/>
      </c>
      <c r="AH310" s="59" t="str">
        <f>IF(L310="","",IF(X310&lt;&gt;"",U310,F310))</f>
        <v/>
      </c>
      <c r="AI310" s="59" t="str">
        <f>IF(L310="","",IF(X310&lt;&gt;"",V310,H310))</f>
        <v/>
      </c>
    </row>
    <row r="311" ht="30" customHeight="1">
      <c r="A311" s="50" t="n"/>
      <c r="B311" s="51" t="n"/>
      <c r="C311" s="51" t="n"/>
      <c r="D311" s="51" t="n"/>
      <c r="E311" s="51" t="n"/>
      <c r="F311" s="52" t="n"/>
      <c r="G311" s="51" t="n"/>
      <c r="H311" s="52" t="n"/>
      <c r="I311" s="51" t="n"/>
      <c r="J311" s="51" t="n"/>
      <c r="K311" s="52" t="n"/>
      <c r="L311" s="53" t="str">
        <f>IF(AND(IF(ISNUMBER(F311),AND(F311&gt;=1,F311&lt;=10,F311=INT(F311)),FALSE),IF(ISNUMBER(H311),AND(H311&gt;=1,H311&lt;=10,H311=INT(H311)),FALSE),IF(ISNUMBER(K311),AND(K311&gt;=1,K311&lt;=10,K311=INT(K311)),FALSE)),F311*H311*K311,"")</f>
        <v/>
      </c>
      <c r="M311" s="54" t="str">
        <f>IF(L311="",IF(D311="","","À coter"),IF(OR(F311&gt;=p_gmin,L311&gt;=p_ipr_crit),"Critique",IF(L311&gt;=p_ipr_act,"Élevée",IF(L311&gt;=p_ipr_watch,"Moyenne","Faible"))))</f>
        <v/>
      </c>
      <c r="N311" s="54" t="str">
        <f>IF(OR(M311="",M311="À coter"),"",IF(OR(M311="Critique",M311="Élevée"),"Oui","Non"))</f>
        <v/>
      </c>
      <c r="O311" s="51" t="n"/>
      <c r="P311" s="51" t="n"/>
      <c r="Q311" s="55" t="n"/>
      <c r="R311" s="50" t="n"/>
      <c r="S311" s="55" t="n"/>
      <c r="T311" s="56" t="n"/>
      <c r="U311" s="52" t="n"/>
      <c r="V311" s="52" t="n"/>
      <c r="W311" s="52" t="n"/>
      <c r="X311" s="53" t="str">
        <f>IF(AND(L311&lt;&gt;"",IF(ISNUMBER(U311),AND(U311&gt;=1,U311&lt;=10,U311=INT(U311)),FALSE),IF(ISNUMBER(V311),AND(V311&gt;=1,V311&lt;=10,V311=INT(V311)),FALSE),IF(ISNUMBER(W311),AND(W311&gt;=1,W311&lt;=10,W311=INT(W311)),FALSE)),U311*V311*W311,"")</f>
        <v/>
      </c>
      <c r="Y311" s="54" t="str">
        <f>IF(X311="","",IF(OR(U311&gt;=p_gmin,X311&gt;=p_ipr_crit),"Critique",IF(X311&gt;=p_ipr_act,"Élevée",IF(X311&gt;=p_ipr_watch,"Moyenne","Faible"))))</f>
        <v/>
      </c>
      <c r="Z311" s="57" t="str">
        <f>IF(X311="","",(L311-X311)/L311)</f>
        <v/>
      </c>
      <c r="AA311" s="54" t="str">
        <f>IF(AND(D311="",O311=""),"",IF(O311="",IF(N311="Oui","Action à définir",IF(N311="Non","Sans action","")),IF(R311="Annulée","Annulée",IF(R311="Réalisée",IF(X311="","À réévaluer","Réalisée"),IF(N(Q311)=0,"Échéance manquante",IF(Q311&lt;p_today,"En retard",IF(Q311-p_today&lt;=p_alert,"Échéance proche","Dans les délais")))))))</f>
        <v/>
      </c>
      <c r="AB311" s="58" t="str">
        <f>IF(AND(A311="",B311="",D311="",F311="",H311="",K311="",O311=""),"",IF(D311="","Mode de défaillance manquant",IF(AND(A311&lt;&gt;"",COUNTIF(am_num,A311)&gt;1),"N° en double",IF(F311="","Gravité G manquante",IF(NOT(IF(ISNUMBER(F311),AND(F311&gt;=1,F311&lt;=10,F311=INT(F311)),FALSE)),"G : entier de 1 à 10",IF(H311="","Occurrence O manquante",IF(NOT(IF(ISNUMBER(H311),AND(H311&gt;=1,H311&lt;=10,H311=INT(H311)),FALSE)),"O : entier de 1 à 10",IF(K311="","Détection D manquante",IF(NOT(IF(ISNUMBER(K311),AND(K311&gt;=1,K311&lt;=10,K311=INT(K311)),FALSE)),"D : entier de 1 à 10",IF(G311="","Cause manquante",IF(AND(O311&lt;&gt;"",P311=""),"Responsable manquant",IF(AND(R311&lt;&gt;"",O311=""),"Statut sans action",IF(AND(R311="Réalisée",N(S311)=0),"Date de réalisation manquante",IF(AND(T311&lt;&gt;"",IF(ISNUMBER(T311),T311&lt;0,TRUE)),"Coût invalide",IF(AND(COUNTBLANK(U311:W311)&gt;0,COUNTBLANK(U311:W311)&lt;3),"Cotation après action incomplète",IF(AND(COUNTBLANK(U311:W311)=0,X311=""),"G', O', D' : entiers de 1 à 10",IF(AND(X311&lt;&gt;"",X311&gt;L311),"IPR après action plus élevé","OK")))))))))))))))))</f>
        <v/>
      </c>
      <c r="AC311" s="59" t="str">
        <f>IF(OR(AA311="En retard",AA311="Échéance proche",AA311="Dans les délais",AA311="Échéance manquante",AA311="Action à définir",AA311="À réévaluer"),IF(OR(plan_who="",P311=plan_who),IF(N(Q311)&gt;0,Q311,99999)*1000+ROW(),""),"")</f>
        <v/>
      </c>
      <c r="AD311" s="59" t="str">
        <f>IF(L311="","",L311*1000+1000-ROW())</f>
        <v/>
      </c>
      <c r="AE311" s="59" t="str">
        <f>IF(IF(AA311="En retard",1,IF(AA311="Action à définir",2,IF(AA311="Échéance manquante",3,IF(AA311="Échéance proche",4,IF(AA311="À réévaluer",5,0)))))=0,"",IF(AA311="En retard",1,IF(AA311="Action à définir",2,IF(AA311="Échéance manquante",3,IF(AA311="Échéance proche",4,IF(AA311="À réévaluer",5,0)))))*100000000+IF(N(Q311)&gt;0,Q311,99999)*1000+ROW())</f>
        <v/>
      </c>
      <c r="AF311" s="59" t="str">
        <f>IF(X311&lt;&gt;"",X311,L311)</f>
        <v/>
      </c>
      <c r="AG311" s="59" t="str">
        <f>IF(X311&lt;&gt;"",Y311,IF(L311&lt;&gt;"",M311,""))</f>
        <v/>
      </c>
      <c r="AH311" s="59" t="str">
        <f>IF(L311="","",IF(X311&lt;&gt;"",U311,F311))</f>
        <v/>
      </c>
      <c r="AI311" s="59" t="str">
        <f>IF(L311="","",IF(X311&lt;&gt;"",V311,H311))</f>
        <v/>
      </c>
    </row>
    <row r="312" ht="30" customHeight="1">
      <c r="A312" s="50" t="n"/>
      <c r="B312" s="51" t="n"/>
      <c r="C312" s="51" t="n"/>
      <c r="D312" s="51" t="n"/>
      <c r="E312" s="51" t="n"/>
      <c r="F312" s="52" t="n"/>
      <c r="G312" s="51" t="n"/>
      <c r="H312" s="52" t="n"/>
      <c r="I312" s="51" t="n"/>
      <c r="J312" s="51" t="n"/>
      <c r="K312" s="52" t="n"/>
      <c r="L312" s="53" t="str">
        <f>IF(AND(IF(ISNUMBER(F312),AND(F312&gt;=1,F312&lt;=10,F312=INT(F312)),FALSE),IF(ISNUMBER(H312),AND(H312&gt;=1,H312&lt;=10,H312=INT(H312)),FALSE),IF(ISNUMBER(K312),AND(K312&gt;=1,K312&lt;=10,K312=INT(K312)),FALSE)),F312*H312*K312,"")</f>
        <v/>
      </c>
      <c r="M312" s="54" t="str">
        <f>IF(L312="",IF(D312="","","À coter"),IF(OR(F312&gt;=p_gmin,L312&gt;=p_ipr_crit),"Critique",IF(L312&gt;=p_ipr_act,"Élevée",IF(L312&gt;=p_ipr_watch,"Moyenne","Faible"))))</f>
        <v/>
      </c>
      <c r="N312" s="54" t="str">
        <f>IF(OR(M312="",M312="À coter"),"",IF(OR(M312="Critique",M312="Élevée"),"Oui","Non"))</f>
        <v/>
      </c>
      <c r="O312" s="51" t="n"/>
      <c r="P312" s="51" t="n"/>
      <c r="Q312" s="55" t="n"/>
      <c r="R312" s="50" t="n"/>
      <c r="S312" s="55" t="n"/>
      <c r="T312" s="56" t="n"/>
      <c r="U312" s="52" t="n"/>
      <c r="V312" s="52" t="n"/>
      <c r="W312" s="52" t="n"/>
      <c r="X312" s="53" t="str">
        <f>IF(AND(L312&lt;&gt;"",IF(ISNUMBER(U312),AND(U312&gt;=1,U312&lt;=10,U312=INT(U312)),FALSE),IF(ISNUMBER(V312),AND(V312&gt;=1,V312&lt;=10,V312=INT(V312)),FALSE),IF(ISNUMBER(W312),AND(W312&gt;=1,W312&lt;=10,W312=INT(W312)),FALSE)),U312*V312*W312,"")</f>
        <v/>
      </c>
      <c r="Y312" s="54" t="str">
        <f>IF(X312="","",IF(OR(U312&gt;=p_gmin,X312&gt;=p_ipr_crit),"Critique",IF(X312&gt;=p_ipr_act,"Élevée",IF(X312&gt;=p_ipr_watch,"Moyenne","Faible"))))</f>
        <v/>
      </c>
      <c r="Z312" s="57" t="str">
        <f>IF(X312="","",(L312-X312)/L312)</f>
        <v/>
      </c>
      <c r="AA312" s="54" t="str">
        <f>IF(AND(D312="",O312=""),"",IF(O312="",IF(N312="Oui","Action à définir",IF(N312="Non","Sans action","")),IF(R312="Annulée","Annulée",IF(R312="Réalisée",IF(X312="","À réévaluer","Réalisée"),IF(N(Q312)=0,"Échéance manquante",IF(Q312&lt;p_today,"En retard",IF(Q312-p_today&lt;=p_alert,"Échéance proche","Dans les délais")))))))</f>
        <v/>
      </c>
      <c r="AB312" s="58" t="str">
        <f>IF(AND(A312="",B312="",D312="",F312="",H312="",K312="",O312=""),"",IF(D312="","Mode de défaillance manquant",IF(AND(A312&lt;&gt;"",COUNTIF(am_num,A312)&gt;1),"N° en double",IF(F312="","Gravité G manquante",IF(NOT(IF(ISNUMBER(F312),AND(F312&gt;=1,F312&lt;=10,F312=INT(F312)),FALSE)),"G : entier de 1 à 10",IF(H312="","Occurrence O manquante",IF(NOT(IF(ISNUMBER(H312),AND(H312&gt;=1,H312&lt;=10,H312=INT(H312)),FALSE)),"O : entier de 1 à 10",IF(K312="","Détection D manquante",IF(NOT(IF(ISNUMBER(K312),AND(K312&gt;=1,K312&lt;=10,K312=INT(K312)),FALSE)),"D : entier de 1 à 10",IF(G312="","Cause manquante",IF(AND(O312&lt;&gt;"",P312=""),"Responsable manquant",IF(AND(R312&lt;&gt;"",O312=""),"Statut sans action",IF(AND(R312="Réalisée",N(S312)=0),"Date de réalisation manquante",IF(AND(T312&lt;&gt;"",IF(ISNUMBER(T312),T312&lt;0,TRUE)),"Coût invalide",IF(AND(COUNTBLANK(U312:W312)&gt;0,COUNTBLANK(U312:W312)&lt;3),"Cotation après action incomplète",IF(AND(COUNTBLANK(U312:W312)=0,X312=""),"G', O', D' : entiers de 1 à 10",IF(AND(X312&lt;&gt;"",X312&gt;L312),"IPR après action plus élevé","OK")))))))))))))))))</f>
        <v/>
      </c>
      <c r="AC312" s="59" t="str">
        <f>IF(OR(AA312="En retard",AA312="Échéance proche",AA312="Dans les délais",AA312="Échéance manquante",AA312="Action à définir",AA312="À réévaluer"),IF(OR(plan_who="",P312=plan_who),IF(N(Q312)&gt;0,Q312,99999)*1000+ROW(),""),"")</f>
        <v/>
      </c>
      <c r="AD312" s="59" t="str">
        <f>IF(L312="","",L312*1000+1000-ROW())</f>
        <v/>
      </c>
      <c r="AE312" s="59" t="str">
        <f>IF(IF(AA312="En retard",1,IF(AA312="Action à définir",2,IF(AA312="Échéance manquante",3,IF(AA312="Échéance proche",4,IF(AA312="À réévaluer",5,0)))))=0,"",IF(AA312="En retard",1,IF(AA312="Action à définir",2,IF(AA312="Échéance manquante",3,IF(AA312="Échéance proche",4,IF(AA312="À réévaluer",5,0)))))*100000000+IF(N(Q312)&gt;0,Q312,99999)*1000+ROW())</f>
        <v/>
      </c>
      <c r="AF312" s="59" t="str">
        <f>IF(X312&lt;&gt;"",X312,L312)</f>
        <v/>
      </c>
      <c r="AG312" s="59" t="str">
        <f>IF(X312&lt;&gt;"",Y312,IF(L312&lt;&gt;"",M312,""))</f>
        <v/>
      </c>
      <c r="AH312" s="59" t="str">
        <f>IF(L312="","",IF(X312&lt;&gt;"",U312,F312))</f>
        <v/>
      </c>
      <c r="AI312" s="59" t="str">
        <f>IF(L312="","",IF(X312&lt;&gt;"",V312,H312))</f>
        <v/>
      </c>
    </row>
    <row r="313" ht="30" customHeight="1">
      <c r="A313" s="50" t="n"/>
      <c r="B313" s="51" t="n"/>
      <c r="C313" s="51" t="n"/>
      <c r="D313" s="51" t="n"/>
      <c r="E313" s="51" t="n"/>
      <c r="F313" s="52" t="n"/>
      <c r="G313" s="51" t="n"/>
      <c r="H313" s="52" t="n"/>
      <c r="I313" s="51" t="n"/>
      <c r="J313" s="51" t="n"/>
      <c r="K313" s="52" t="n"/>
      <c r="L313" s="53" t="str">
        <f>IF(AND(IF(ISNUMBER(F313),AND(F313&gt;=1,F313&lt;=10,F313=INT(F313)),FALSE),IF(ISNUMBER(H313),AND(H313&gt;=1,H313&lt;=10,H313=INT(H313)),FALSE),IF(ISNUMBER(K313),AND(K313&gt;=1,K313&lt;=10,K313=INT(K313)),FALSE)),F313*H313*K313,"")</f>
        <v/>
      </c>
      <c r="M313" s="54" t="str">
        <f>IF(L313="",IF(D313="","","À coter"),IF(OR(F313&gt;=p_gmin,L313&gt;=p_ipr_crit),"Critique",IF(L313&gt;=p_ipr_act,"Élevée",IF(L313&gt;=p_ipr_watch,"Moyenne","Faible"))))</f>
        <v/>
      </c>
      <c r="N313" s="54" t="str">
        <f>IF(OR(M313="",M313="À coter"),"",IF(OR(M313="Critique",M313="Élevée"),"Oui","Non"))</f>
        <v/>
      </c>
      <c r="O313" s="51" t="n"/>
      <c r="P313" s="51" t="n"/>
      <c r="Q313" s="55" t="n"/>
      <c r="R313" s="50" t="n"/>
      <c r="S313" s="55" t="n"/>
      <c r="T313" s="56" t="n"/>
      <c r="U313" s="52" t="n"/>
      <c r="V313" s="52" t="n"/>
      <c r="W313" s="52" t="n"/>
      <c r="X313" s="53" t="str">
        <f>IF(AND(L313&lt;&gt;"",IF(ISNUMBER(U313),AND(U313&gt;=1,U313&lt;=10,U313=INT(U313)),FALSE),IF(ISNUMBER(V313),AND(V313&gt;=1,V313&lt;=10,V313=INT(V313)),FALSE),IF(ISNUMBER(W313),AND(W313&gt;=1,W313&lt;=10,W313=INT(W313)),FALSE)),U313*V313*W313,"")</f>
        <v/>
      </c>
      <c r="Y313" s="54" t="str">
        <f>IF(X313="","",IF(OR(U313&gt;=p_gmin,X313&gt;=p_ipr_crit),"Critique",IF(X313&gt;=p_ipr_act,"Élevée",IF(X313&gt;=p_ipr_watch,"Moyenne","Faible"))))</f>
        <v/>
      </c>
      <c r="Z313" s="57" t="str">
        <f>IF(X313="","",(L313-X313)/L313)</f>
        <v/>
      </c>
      <c r="AA313" s="54" t="str">
        <f>IF(AND(D313="",O313=""),"",IF(O313="",IF(N313="Oui","Action à définir",IF(N313="Non","Sans action","")),IF(R313="Annulée","Annulée",IF(R313="Réalisée",IF(X313="","À réévaluer","Réalisée"),IF(N(Q313)=0,"Échéance manquante",IF(Q313&lt;p_today,"En retard",IF(Q313-p_today&lt;=p_alert,"Échéance proche","Dans les délais")))))))</f>
        <v/>
      </c>
      <c r="AB313" s="58" t="str">
        <f>IF(AND(A313="",B313="",D313="",F313="",H313="",K313="",O313=""),"",IF(D313="","Mode de défaillance manquant",IF(AND(A313&lt;&gt;"",COUNTIF(am_num,A313)&gt;1),"N° en double",IF(F313="","Gravité G manquante",IF(NOT(IF(ISNUMBER(F313),AND(F313&gt;=1,F313&lt;=10,F313=INT(F313)),FALSE)),"G : entier de 1 à 10",IF(H313="","Occurrence O manquante",IF(NOT(IF(ISNUMBER(H313),AND(H313&gt;=1,H313&lt;=10,H313=INT(H313)),FALSE)),"O : entier de 1 à 10",IF(K313="","Détection D manquante",IF(NOT(IF(ISNUMBER(K313),AND(K313&gt;=1,K313&lt;=10,K313=INT(K313)),FALSE)),"D : entier de 1 à 10",IF(G313="","Cause manquante",IF(AND(O313&lt;&gt;"",P313=""),"Responsable manquant",IF(AND(R313&lt;&gt;"",O313=""),"Statut sans action",IF(AND(R313="Réalisée",N(S313)=0),"Date de réalisation manquante",IF(AND(T313&lt;&gt;"",IF(ISNUMBER(T313),T313&lt;0,TRUE)),"Coût invalide",IF(AND(COUNTBLANK(U313:W313)&gt;0,COUNTBLANK(U313:W313)&lt;3),"Cotation après action incomplète",IF(AND(COUNTBLANK(U313:W313)=0,X313=""),"G', O', D' : entiers de 1 à 10",IF(AND(X313&lt;&gt;"",X313&gt;L313),"IPR après action plus élevé","OK")))))))))))))))))</f>
        <v/>
      </c>
      <c r="AC313" s="59" t="str">
        <f>IF(OR(AA313="En retard",AA313="Échéance proche",AA313="Dans les délais",AA313="Échéance manquante",AA313="Action à définir",AA313="À réévaluer"),IF(OR(plan_who="",P313=plan_who),IF(N(Q313)&gt;0,Q313,99999)*1000+ROW(),""),"")</f>
        <v/>
      </c>
      <c r="AD313" s="59" t="str">
        <f>IF(L313="","",L313*1000+1000-ROW())</f>
        <v/>
      </c>
      <c r="AE313" s="59" t="str">
        <f>IF(IF(AA313="En retard",1,IF(AA313="Action à définir",2,IF(AA313="Échéance manquante",3,IF(AA313="Échéance proche",4,IF(AA313="À réévaluer",5,0)))))=0,"",IF(AA313="En retard",1,IF(AA313="Action à définir",2,IF(AA313="Échéance manquante",3,IF(AA313="Échéance proche",4,IF(AA313="À réévaluer",5,0)))))*100000000+IF(N(Q313)&gt;0,Q313,99999)*1000+ROW())</f>
        <v/>
      </c>
      <c r="AF313" s="59" t="str">
        <f>IF(X313&lt;&gt;"",X313,L313)</f>
        <v/>
      </c>
      <c r="AG313" s="59" t="str">
        <f>IF(X313&lt;&gt;"",Y313,IF(L313&lt;&gt;"",M313,""))</f>
        <v/>
      </c>
      <c r="AH313" s="59" t="str">
        <f>IF(L313="","",IF(X313&lt;&gt;"",U313,F313))</f>
        <v/>
      </c>
      <c r="AI313" s="59" t="str">
        <f>IF(L313="","",IF(X313&lt;&gt;"",V313,H313))</f>
        <v/>
      </c>
    </row>
    <row r="314" ht="30" customHeight="1">
      <c r="A314" s="50" t="n"/>
      <c r="B314" s="51" t="n"/>
      <c r="C314" s="51" t="n"/>
      <c r="D314" s="51" t="n"/>
      <c r="E314" s="51" t="n"/>
      <c r="F314" s="52" t="n"/>
      <c r="G314" s="51" t="n"/>
      <c r="H314" s="52" t="n"/>
      <c r="I314" s="51" t="n"/>
      <c r="J314" s="51" t="n"/>
      <c r="K314" s="52" t="n"/>
      <c r="L314" s="53" t="str">
        <f>IF(AND(IF(ISNUMBER(F314),AND(F314&gt;=1,F314&lt;=10,F314=INT(F314)),FALSE),IF(ISNUMBER(H314),AND(H314&gt;=1,H314&lt;=10,H314=INT(H314)),FALSE),IF(ISNUMBER(K314),AND(K314&gt;=1,K314&lt;=10,K314=INT(K314)),FALSE)),F314*H314*K314,"")</f>
        <v/>
      </c>
      <c r="M314" s="54" t="str">
        <f>IF(L314="",IF(D314="","","À coter"),IF(OR(F314&gt;=p_gmin,L314&gt;=p_ipr_crit),"Critique",IF(L314&gt;=p_ipr_act,"Élevée",IF(L314&gt;=p_ipr_watch,"Moyenne","Faible"))))</f>
        <v/>
      </c>
      <c r="N314" s="54" t="str">
        <f>IF(OR(M314="",M314="À coter"),"",IF(OR(M314="Critique",M314="Élevée"),"Oui","Non"))</f>
        <v/>
      </c>
      <c r="O314" s="51" t="n"/>
      <c r="P314" s="51" t="n"/>
      <c r="Q314" s="55" t="n"/>
      <c r="R314" s="50" t="n"/>
      <c r="S314" s="55" t="n"/>
      <c r="T314" s="56" t="n"/>
      <c r="U314" s="52" t="n"/>
      <c r="V314" s="52" t="n"/>
      <c r="W314" s="52" t="n"/>
      <c r="X314" s="53" t="str">
        <f>IF(AND(L314&lt;&gt;"",IF(ISNUMBER(U314),AND(U314&gt;=1,U314&lt;=10,U314=INT(U314)),FALSE),IF(ISNUMBER(V314),AND(V314&gt;=1,V314&lt;=10,V314=INT(V314)),FALSE),IF(ISNUMBER(W314),AND(W314&gt;=1,W314&lt;=10,W314=INT(W314)),FALSE)),U314*V314*W314,"")</f>
        <v/>
      </c>
      <c r="Y314" s="54" t="str">
        <f>IF(X314="","",IF(OR(U314&gt;=p_gmin,X314&gt;=p_ipr_crit),"Critique",IF(X314&gt;=p_ipr_act,"Élevée",IF(X314&gt;=p_ipr_watch,"Moyenne","Faible"))))</f>
        <v/>
      </c>
      <c r="Z314" s="57" t="str">
        <f>IF(X314="","",(L314-X314)/L314)</f>
        <v/>
      </c>
      <c r="AA314" s="54" t="str">
        <f>IF(AND(D314="",O314=""),"",IF(O314="",IF(N314="Oui","Action à définir",IF(N314="Non","Sans action","")),IF(R314="Annulée","Annulée",IF(R314="Réalisée",IF(X314="","À réévaluer","Réalisée"),IF(N(Q314)=0,"Échéance manquante",IF(Q314&lt;p_today,"En retard",IF(Q314-p_today&lt;=p_alert,"Échéance proche","Dans les délais")))))))</f>
        <v/>
      </c>
      <c r="AB314" s="58" t="str">
        <f>IF(AND(A314="",B314="",D314="",F314="",H314="",K314="",O314=""),"",IF(D314="","Mode de défaillance manquant",IF(AND(A314&lt;&gt;"",COUNTIF(am_num,A314)&gt;1),"N° en double",IF(F314="","Gravité G manquante",IF(NOT(IF(ISNUMBER(F314),AND(F314&gt;=1,F314&lt;=10,F314=INT(F314)),FALSE)),"G : entier de 1 à 10",IF(H314="","Occurrence O manquante",IF(NOT(IF(ISNUMBER(H314),AND(H314&gt;=1,H314&lt;=10,H314=INT(H314)),FALSE)),"O : entier de 1 à 10",IF(K314="","Détection D manquante",IF(NOT(IF(ISNUMBER(K314),AND(K314&gt;=1,K314&lt;=10,K314=INT(K314)),FALSE)),"D : entier de 1 à 10",IF(G314="","Cause manquante",IF(AND(O314&lt;&gt;"",P314=""),"Responsable manquant",IF(AND(R314&lt;&gt;"",O314=""),"Statut sans action",IF(AND(R314="Réalisée",N(S314)=0),"Date de réalisation manquante",IF(AND(T314&lt;&gt;"",IF(ISNUMBER(T314),T314&lt;0,TRUE)),"Coût invalide",IF(AND(COUNTBLANK(U314:W314)&gt;0,COUNTBLANK(U314:W314)&lt;3),"Cotation après action incomplète",IF(AND(COUNTBLANK(U314:W314)=0,X314=""),"G', O', D' : entiers de 1 à 10",IF(AND(X314&lt;&gt;"",X314&gt;L314),"IPR après action plus élevé","OK")))))))))))))))))</f>
        <v/>
      </c>
      <c r="AC314" s="59" t="str">
        <f>IF(OR(AA314="En retard",AA314="Échéance proche",AA314="Dans les délais",AA314="Échéance manquante",AA314="Action à définir",AA314="À réévaluer"),IF(OR(plan_who="",P314=plan_who),IF(N(Q314)&gt;0,Q314,99999)*1000+ROW(),""),"")</f>
        <v/>
      </c>
      <c r="AD314" s="59" t="str">
        <f>IF(L314="","",L314*1000+1000-ROW())</f>
        <v/>
      </c>
      <c r="AE314" s="59" t="str">
        <f>IF(IF(AA314="En retard",1,IF(AA314="Action à définir",2,IF(AA314="Échéance manquante",3,IF(AA314="Échéance proche",4,IF(AA314="À réévaluer",5,0)))))=0,"",IF(AA314="En retard",1,IF(AA314="Action à définir",2,IF(AA314="Échéance manquante",3,IF(AA314="Échéance proche",4,IF(AA314="À réévaluer",5,0)))))*100000000+IF(N(Q314)&gt;0,Q314,99999)*1000+ROW())</f>
        <v/>
      </c>
      <c r="AF314" s="59" t="str">
        <f>IF(X314&lt;&gt;"",X314,L314)</f>
        <v/>
      </c>
      <c r="AG314" s="59" t="str">
        <f>IF(X314&lt;&gt;"",Y314,IF(L314&lt;&gt;"",M314,""))</f>
        <v/>
      </c>
      <c r="AH314" s="59" t="str">
        <f>IF(L314="","",IF(X314&lt;&gt;"",U314,F314))</f>
        <v/>
      </c>
      <c r="AI314" s="59" t="str">
        <f>IF(L314="","",IF(X314&lt;&gt;"",V314,H314))</f>
        <v/>
      </c>
    </row>
    <row r="315" ht="30" customHeight="1">
      <c r="A315" s="50" t="n"/>
      <c r="B315" s="51" t="n"/>
      <c r="C315" s="51" t="n"/>
      <c r="D315" s="51" t="n"/>
      <c r="E315" s="51" t="n"/>
      <c r="F315" s="52" t="n"/>
      <c r="G315" s="51" t="n"/>
      <c r="H315" s="52" t="n"/>
      <c r="I315" s="51" t="n"/>
      <c r="J315" s="51" t="n"/>
      <c r="K315" s="52" t="n"/>
      <c r="L315" s="53" t="str">
        <f>IF(AND(IF(ISNUMBER(F315),AND(F315&gt;=1,F315&lt;=10,F315=INT(F315)),FALSE),IF(ISNUMBER(H315),AND(H315&gt;=1,H315&lt;=10,H315=INT(H315)),FALSE),IF(ISNUMBER(K315),AND(K315&gt;=1,K315&lt;=10,K315=INT(K315)),FALSE)),F315*H315*K315,"")</f>
        <v/>
      </c>
      <c r="M315" s="54" t="str">
        <f>IF(L315="",IF(D315="","","À coter"),IF(OR(F315&gt;=p_gmin,L315&gt;=p_ipr_crit),"Critique",IF(L315&gt;=p_ipr_act,"Élevée",IF(L315&gt;=p_ipr_watch,"Moyenne","Faible"))))</f>
        <v/>
      </c>
      <c r="N315" s="54" t="str">
        <f>IF(OR(M315="",M315="À coter"),"",IF(OR(M315="Critique",M315="Élevée"),"Oui","Non"))</f>
        <v/>
      </c>
      <c r="O315" s="51" t="n"/>
      <c r="P315" s="51" t="n"/>
      <c r="Q315" s="55" t="n"/>
      <c r="R315" s="50" t="n"/>
      <c r="S315" s="55" t="n"/>
      <c r="T315" s="56" t="n"/>
      <c r="U315" s="52" t="n"/>
      <c r="V315" s="52" t="n"/>
      <c r="W315" s="52" t="n"/>
      <c r="X315" s="53" t="str">
        <f>IF(AND(L315&lt;&gt;"",IF(ISNUMBER(U315),AND(U315&gt;=1,U315&lt;=10,U315=INT(U315)),FALSE),IF(ISNUMBER(V315),AND(V315&gt;=1,V315&lt;=10,V315=INT(V315)),FALSE),IF(ISNUMBER(W315),AND(W315&gt;=1,W315&lt;=10,W315=INT(W315)),FALSE)),U315*V315*W315,"")</f>
        <v/>
      </c>
      <c r="Y315" s="54" t="str">
        <f>IF(X315="","",IF(OR(U315&gt;=p_gmin,X315&gt;=p_ipr_crit),"Critique",IF(X315&gt;=p_ipr_act,"Élevée",IF(X315&gt;=p_ipr_watch,"Moyenne","Faible"))))</f>
        <v/>
      </c>
      <c r="Z315" s="57" t="str">
        <f>IF(X315="","",(L315-X315)/L315)</f>
        <v/>
      </c>
      <c r="AA315" s="54" t="str">
        <f>IF(AND(D315="",O315=""),"",IF(O315="",IF(N315="Oui","Action à définir",IF(N315="Non","Sans action","")),IF(R315="Annulée","Annulée",IF(R315="Réalisée",IF(X315="","À réévaluer","Réalisée"),IF(N(Q315)=0,"Échéance manquante",IF(Q315&lt;p_today,"En retard",IF(Q315-p_today&lt;=p_alert,"Échéance proche","Dans les délais")))))))</f>
        <v/>
      </c>
      <c r="AB315" s="58" t="str">
        <f>IF(AND(A315="",B315="",D315="",F315="",H315="",K315="",O315=""),"",IF(D315="","Mode de défaillance manquant",IF(AND(A315&lt;&gt;"",COUNTIF(am_num,A315)&gt;1),"N° en double",IF(F315="","Gravité G manquante",IF(NOT(IF(ISNUMBER(F315),AND(F315&gt;=1,F315&lt;=10,F315=INT(F315)),FALSE)),"G : entier de 1 à 10",IF(H315="","Occurrence O manquante",IF(NOT(IF(ISNUMBER(H315),AND(H315&gt;=1,H315&lt;=10,H315=INT(H315)),FALSE)),"O : entier de 1 à 10",IF(K315="","Détection D manquante",IF(NOT(IF(ISNUMBER(K315),AND(K315&gt;=1,K315&lt;=10,K315=INT(K315)),FALSE)),"D : entier de 1 à 10",IF(G315="","Cause manquante",IF(AND(O315&lt;&gt;"",P315=""),"Responsable manquant",IF(AND(R315&lt;&gt;"",O315=""),"Statut sans action",IF(AND(R315="Réalisée",N(S315)=0),"Date de réalisation manquante",IF(AND(T315&lt;&gt;"",IF(ISNUMBER(T315),T315&lt;0,TRUE)),"Coût invalide",IF(AND(COUNTBLANK(U315:W315)&gt;0,COUNTBLANK(U315:W315)&lt;3),"Cotation après action incomplète",IF(AND(COUNTBLANK(U315:W315)=0,X315=""),"G', O', D' : entiers de 1 à 10",IF(AND(X315&lt;&gt;"",X315&gt;L315),"IPR après action plus élevé","OK")))))))))))))))))</f>
        <v/>
      </c>
      <c r="AC315" s="59" t="str">
        <f>IF(OR(AA315="En retard",AA315="Échéance proche",AA315="Dans les délais",AA315="Échéance manquante",AA315="Action à définir",AA315="À réévaluer"),IF(OR(plan_who="",P315=plan_who),IF(N(Q315)&gt;0,Q315,99999)*1000+ROW(),""),"")</f>
        <v/>
      </c>
      <c r="AD315" s="59" t="str">
        <f>IF(L315="","",L315*1000+1000-ROW())</f>
        <v/>
      </c>
      <c r="AE315" s="59" t="str">
        <f>IF(IF(AA315="En retard",1,IF(AA315="Action à définir",2,IF(AA315="Échéance manquante",3,IF(AA315="Échéance proche",4,IF(AA315="À réévaluer",5,0)))))=0,"",IF(AA315="En retard",1,IF(AA315="Action à définir",2,IF(AA315="Échéance manquante",3,IF(AA315="Échéance proche",4,IF(AA315="À réévaluer",5,0)))))*100000000+IF(N(Q315)&gt;0,Q315,99999)*1000+ROW())</f>
        <v/>
      </c>
      <c r="AF315" s="59" t="str">
        <f>IF(X315&lt;&gt;"",X315,L315)</f>
        <v/>
      </c>
      <c r="AG315" s="59" t="str">
        <f>IF(X315&lt;&gt;"",Y315,IF(L315&lt;&gt;"",M315,""))</f>
        <v/>
      </c>
      <c r="AH315" s="59" t="str">
        <f>IF(L315="","",IF(X315&lt;&gt;"",U315,F315))</f>
        <v/>
      </c>
      <c r="AI315" s="59" t="str">
        <f>IF(L315="","",IF(X315&lt;&gt;"",V315,H315))</f>
        <v/>
      </c>
    </row>
    <row r="316" ht="30" customHeight="1">
      <c r="A316" s="50" t="n"/>
      <c r="B316" s="51" t="n"/>
      <c r="C316" s="51" t="n"/>
      <c r="D316" s="51" t="n"/>
      <c r="E316" s="51" t="n"/>
      <c r="F316" s="52" t="n"/>
      <c r="G316" s="51" t="n"/>
      <c r="H316" s="52" t="n"/>
      <c r="I316" s="51" t="n"/>
      <c r="J316" s="51" t="n"/>
      <c r="K316" s="52" t="n"/>
      <c r="L316" s="53" t="str">
        <f>IF(AND(IF(ISNUMBER(F316),AND(F316&gt;=1,F316&lt;=10,F316=INT(F316)),FALSE),IF(ISNUMBER(H316),AND(H316&gt;=1,H316&lt;=10,H316=INT(H316)),FALSE),IF(ISNUMBER(K316),AND(K316&gt;=1,K316&lt;=10,K316=INT(K316)),FALSE)),F316*H316*K316,"")</f>
        <v/>
      </c>
      <c r="M316" s="54" t="str">
        <f>IF(L316="",IF(D316="","","À coter"),IF(OR(F316&gt;=p_gmin,L316&gt;=p_ipr_crit),"Critique",IF(L316&gt;=p_ipr_act,"Élevée",IF(L316&gt;=p_ipr_watch,"Moyenne","Faible"))))</f>
        <v/>
      </c>
      <c r="N316" s="54" t="str">
        <f>IF(OR(M316="",M316="À coter"),"",IF(OR(M316="Critique",M316="Élevée"),"Oui","Non"))</f>
        <v/>
      </c>
      <c r="O316" s="51" t="n"/>
      <c r="P316" s="51" t="n"/>
      <c r="Q316" s="55" t="n"/>
      <c r="R316" s="50" t="n"/>
      <c r="S316" s="55" t="n"/>
      <c r="T316" s="56" t="n"/>
      <c r="U316" s="52" t="n"/>
      <c r="V316" s="52" t="n"/>
      <c r="W316" s="52" t="n"/>
      <c r="X316" s="53" t="str">
        <f>IF(AND(L316&lt;&gt;"",IF(ISNUMBER(U316),AND(U316&gt;=1,U316&lt;=10,U316=INT(U316)),FALSE),IF(ISNUMBER(V316),AND(V316&gt;=1,V316&lt;=10,V316=INT(V316)),FALSE),IF(ISNUMBER(W316),AND(W316&gt;=1,W316&lt;=10,W316=INT(W316)),FALSE)),U316*V316*W316,"")</f>
        <v/>
      </c>
      <c r="Y316" s="54" t="str">
        <f>IF(X316="","",IF(OR(U316&gt;=p_gmin,X316&gt;=p_ipr_crit),"Critique",IF(X316&gt;=p_ipr_act,"Élevée",IF(X316&gt;=p_ipr_watch,"Moyenne","Faible"))))</f>
        <v/>
      </c>
      <c r="Z316" s="57" t="str">
        <f>IF(X316="","",(L316-X316)/L316)</f>
        <v/>
      </c>
      <c r="AA316" s="54" t="str">
        <f>IF(AND(D316="",O316=""),"",IF(O316="",IF(N316="Oui","Action à définir",IF(N316="Non","Sans action","")),IF(R316="Annulée","Annulée",IF(R316="Réalisée",IF(X316="","À réévaluer","Réalisée"),IF(N(Q316)=0,"Échéance manquante",IF(Q316&lt;p_today,"En retard",IF(Q316-p_today&lt;=p_alert,"Échéance proche","Dans les délais")))))))</f>
        <v/>
      </c>
      <c r="AB316" s="58" t="str">
        <f>IF(AND(A316="",B316="",D316="",F316="",H316="",K316="",O316=""),"",IF(D316="","Mode de défaillance manquant",IF(AND(A316&lt;&gt;"",COUNTIF(am_num,A316)&gt;1),"N° en double",IF(F316="","Gravité G manquante",IF(NOT(IF(ISNUMBER(F316),AND(F316&gt;=1,F316&lt;=10,F316=INT(F316)),FALSE)),"G : entier de 1 à 10",IF(H316="","Occurrence O manquante",IF(NOT(IF(ISNUMBER(H316),AND(H316&gt;=1,H316&lt;=10,H316=INT(H316)),FALSE)),"O : entier de 1 à 10",IF(K316="","Détection D manquante",IF(NOT(IF(ISNUMBER(K316),AND(K316&gt;=1,K316&lt;=10,K316=INT(K316)),FALSE)),"D : entier de 1 à 10",IF(G316="","Cause manquante",IF(AND(O316&lt;&gt;"",P316=""),"Responsable manquant",IF(AND(R316&lt;&gt;"",O316=""),"Statut sans action",IF(AND(R316="Réalisée",N(S316)=0),"Date de réalisation manquante",IF(AND(T316&lt;&gt;"",IF(ISNUMBER(T316),T316&lt;0,TRUE)),"Coût invalide",IF(AND(COUNTBLANK(U316:W316)&gt;0,COUNTBLANK(U316:W316)&lt;3),"Cotation après action incomplète",IF(AND(COUNTBLANK(U316:W316)=0,X316=""),"G', O', D' : entiers de 1 à 10",IF(AND(X316&lt;&gt;"",X316&gt;L316),"IPR après action plus élevé","OK")))))))))))))))))</f>
        <v/>
      </c>
      <c r="AC316" s="59" t="str">
        <f>IF(OR(AA316="En retard",AA316="Échéance proche",AA316="Dans les délais",AA316="Échéance manquante",AA316="Action à définir",AA316="À réévaluer"),IF(OR(plan_who="",P316=plan_who),IF(N(Q316)&gt;0,Q316,99999)*1000+ROW(),""),"")</f>
        <v/>
      </c>
      <c r="AD316" s="59" t="str">
        <f>IF(L316="","",L316*1000+1000-ROW())</f>
        <v/>
      </c>
      <c r="AE316" s="59" t="str">
        <f>IF(IF(AA316="En retard",1,IF(AA316="Action à définir",2,IF(AA316="Échéance manquante",3,IF(AA316="Échéance proche",4,IF(AA316="À réévaluer",5,0)))))=0,"",IF(AA316="En retard",1,IF(AA316="Action à définir",2,IF(AA316="Échéance manquante",3,IF(AA316="Échéance proche",4,IF(AA316="À réévaluer",5,0)))))*100000000+IF(N(Q316)&gt;0,Q316,99999)*1000+ROW())</f>
        <v/>
      </c>
      <c r="AF316" s="59" t="str">
        <f>IF(X316&lt;&gt;"",X316,L316)</f>
        <v/>
      </c>
      <c r="AG316" s="59" t="str">
        <f>IF(X316&lt;&gt;"",Y316,IF(L316&lt;&gt;"",M316,""))</f>
        <v/>
      </c>
      <c r="AH316" s="59" t="str">
        <f>IF(L316="","",IF(X316&lt;&gt;"",U316,F316))</f>
        <v/>
      </c>
      <c r="AI316" s="59" t="str">
        <f>IF(L316="","",IF(X316&lt;&gt;"",V316,H316))</f>
        <v/>
      </c>
    </row>
    <row r="317" ht="30" customHeight="1">
      <c r="A317" s="50" t="n"/>
      <c r="B317" s="51" t="n"/>
      <c r="C317" s="51" t="n"/>
      <c r="D317" s="51" t="n"/>
      <c r="E317" s="51" t="n"/>
      <c r="F317" s="52" t="n"/>
      <c r="G317" s="51" t="n"/>
      <c r="H317" s="52" t="n"/>
      <c r="I317" s="51" t="n"/>
      <c r="J317" s="51" t="n"/>
      <c r="K317" s="52" t="n"/>
      <c r="L317" s="53" t="str">
        <f>IF(AND(IF(ISNUMBER(F317),AND(F317&gt;=1,F317&lt;=10,F317=INT(F317)),FALSE),IF(ISNUMBER(H317),AND(H317&gt;=1,H317&lt;=10,H317=INT(H317)),FALSE),IF(ISNUMBER(K317),AND(K317&gt;=1,K317&lt;=10,K317=INT(K317)),FALSE)),F317*H317*K317,"")</f>
        <v/>
      </c>
      <c r="M317" s="54" t="str">
        <f>IF(L317="",IF(D317="","","À coter"),IF(OR(F317&gt;=p_gmin,L317&gt;=p_ipr_crit),"Critique",IF(L317&gt;=p_ipr_act,"Élevée",IF(L317&gt;=p_ipr_watch,"Moyenne","Faible"))))</f>
        <v/>
      </c>
      <c r="N317" s="54" t="str">
        <f>IF(OR(M317="",M317="À coter"),"",IF(OR(M317="Critique",M317="Élevée"),"Oui","Non"))</f>
        <v/>
      </c>
      <c r="O317" s="51" t="n"/>
      <c r="P317" s="51" t="n"/>
      <c r="Q317" s="55" t="n"/>
      <c r="R317" s="50" t="n"/>
      <c r="S317" s="55" t="n"/>
      <c r="T317" s="56" t="n"/>
      <c r="U317" s="52" t="n"/>
      <c r="V317" s="52" t="n"/>
      <c r="W317" s="52" t="n"/>
      <c r="X317" s="53" t="str">
        <f>IF(AND(L317&lt;&gt;"",IF(ISNUMBER(U317),AND(U317&gt;=1,U317&lt;=10,U317=INT(U317)),FALSE),IF(ISNUMBER(V317),AND(V317&gt;=1,V317&lt;=10,V317=INT(V317)),FALSE),IF(ISNUMBER(W317),AND(W317&gt;=1,W317&lt;=10,W317=INT(W317)),FALSE)),U317*V317*W317,"")</f>
        <v/>
      </c>
      <c r="Y317" s="54" t="str">
        <f>IF(X317="","",IF(OR(U317&gt;=p_gmin,X317&gt;=p_ipr_crit),"Critique",IF(X317&gt;=p_ipr_act,"Élevée",IF(X317&gt;=p_ipr_watch,"Moyenne","Faible"))))</f>
        <v/>
      </c>
      <c r="Z317" s="57" t="str">
        <f>IF(X317="","",(L317-X317)/L317)</f>
        <v/>
      </c>
      <c r="AA317" s="54" t="str">
        <f>IF(AND(D317="",O317=""),"",IF(O317="",IF(N317="Oui","Action à définir",IF(N317="Non","Sans action","")),IF(R317="Annulée","Annulée",IF(R317="Réalisée",IF(X317="","À réévaluer","Réalisée"),IF(N(Q317)=0,"Échéance manquante",IF(Q317&lt;p_today,"En retard",IF(Q317-p_today&lt;=p_alert,"Échéance proche","Dans les délais")))))))</f>
        <v/>
      </c>
      <c r="AB317" s="58" t="str">
        <f>IF(AND(A317="",B317="",D317="",F317="",H317="",K317="",O317=""),"",IF(D317="","Mode de défaillance manquant",IF(AND(A317&lt;&gt;"",COUNTIF(am_num,A317)&gt;1),"N° en double",IF(F317="","Gravité G manquante",IF(NOT(IF(ISNUMBER(F317),AND(F317&gt;=1,F317&lt;=10,F317=INT(F317)),FALSE)),"G : entier de 1 à 10",IF(H317="","Occurrence O manquante",IF(NOT(IF(ISNUMBER(H317),AND(H317&gt;=1,H317&lt;=10,H317=INT(H317)),FALSE)),"O : entier de 1 à 10",IF(K317="","Détection D manquante",IF(NOT(IF(ISNUMBER(K317),AND(K317&gt;=1,K317&lt;=10,K317=INT(K317)),FALSE)),"D : entier de 1 à 10",IF(G317="","Cause manquante",IF(AND(O317&lt;&gt;"",P317=""),"Responsable manquant",IF(AND(R317&lt;&gt;"",O317=""),"Statut sans action",IF(AND(R317="Réalisée",N(S317)=0),"Date de réalisation manquante",IF(AND(T317&lt;&gt;"",IF(ISNUMBER(T317),T317&lt;0,TRUE)),"Coût invalide",IF(AND(COUNTBLANK(U317:W317)&gt;0,COUNTBLANK(U317:W317)&lt;3),"Cotation après action incomplète",IF(AND(COUNTBLANK(U317:W317)=0,X317=""),"G', O', D' : entiers de 1 à 10",IF(AND(X317&lt;&gt;"",X317&gt;L317),"IPR après action plus élevé","OK")))))))))))))))))</f>
        <v/>
      </c>
      <c r="AC317" s="59" t="str">
        <f>IF(OR(AA317="En retard",AA317="Échéance proche",AA317="Dans les délais",AA317="Échéance manquante",AA317="Action à définir",AA317="À réévaluer"),IF(OR(plan_who="",P317=plan_who),IF(N(Q317)&gt;0,Q317,99999)*1000+ROW(),""),"")</f>
        <v/>
      </c>
      <c r="AD317" s="59" t="str">
        <f>IF(L317="","",L317*1000+1000-ROW())</f>
        <v/>
      </c>
      <c r="AE317" s="59" t="str">
        <f>IF(IF(AA317="En retard",1,IF(AA317="Action à définir",2,IF(AA317="Échéance manquante",3,IF(AA317="Échéance proche",4,IF(AA317="À réévaluer",5,0)))))=0,"",IF(AA317="En retard",1,IF(AA317="Action à définir",2,IF(AA317="Échéance manquante",3,IF(AA317="Échéance proche",4,IF(AA317="À réévaluer",5,0)))))*100000000+IF(N(Q317)&gt;0,Q317,99999)*1000+ROW())</f>
        <v/>
      </c>
      <c r="AF317" s="59" t="str">
        <f>IF(X317&lt;&gt;"",X317,L317)</f>
        <v/>
      </c>
      <c r="AG317" s="59" t="str">
        <f>IF(X317&lt;&gt;"",Y317,IF(L317&lt;&gt;"",M317,""))</f>
        <v/>
      </c>
      <c r="AH317" s="59" t="str">
        <f>IF(L317="","",IF(X317&lt;&gt;"",U317,F317))</f>
        <v/>
      </c>
      <c r="AI317" s="59" t="str">
        <f>IF(L317="","",IF(X317&lt;&gt;"",V317,H317))</f>
        <v/>
      </c>
    </row>
    <row r="318" ht="30" customHeight="1">
      <c r="A318" s="50" t="n"/>
      <c r="B318" s="51" t="n"/>
      <c r="C318" s="51" t="n"/>
      <c r="D318" s="51" t="n"/>
      <c r="E318" s="51" t="n"/>
      <c r="F318" s="52" t="n"/>
      <c r="G318" s="51" t="n"/>
      <c r="H318" s="52" t="n"/>
      <c r="I318" s="51" t="n"/>
      <c r="J318" s="51" t="n"/>
      <c r="K318" s="52" t="n"/>
      <c r="L318" s="53" t="str">
        <f>IF(AND(IF(ISNUMBER(F318),AND(F318&gt;=1,F318&lt;=10,F318=INT(F318)),FALSE),IF(ISNUMBER(H318),AND(H318&gt;=1,H318&lt;=10,H318=INT(H318)),FALSE),IF(ISNUMBER(K318),AND(K318&gt;=1,K318&lt;=10,K318=INT(K318)),FALSE)),F318*H318*K318,"")</f>
        <v/>
      </c>
      <c r="M318" s="54" t="str">
        <f>IF(L318="",IF(D318="","","À coter"),IF(OR(F318&gt;=p_gmin,L318&gt;=p_ipr_crit),"Critique",IF(L318&gt;=p_ipr_act,"Élevée",IF(L318&gt;=p_ipr_watch,"Moyenne","Faible"))))</f>
        <v/>
      </c>
      <c r="N318" s="54" t="str">
        <f>IF(OR(M318="",M318="À coter"),"",IF(OR(M318="Critique",M318="Élevée"),"Oui","Non"))</f>
        <v/>
      </c>
      <c r="O318" s="51" t="n"/>
      <c r="P318" s="51" t="n"/>
      <c r="Q318" s="55" t="n"/>
      <c r="R318" s="50" t="n"/>
      <c r="S318" s="55" t="n"/>
      <c r="T318" s="56" t="n"/>
      <c r="U318" s="52" t="n"/>
      <c r="V318" s="52" t="n"/>
      <c r="W318" s="52" t="n"/>
      <c r="X318" s="53" t="str">
        <f>IF(AND(L318&lt;&gt;"",IF(ISNUMBER(U318),AND(U318&gt;=1,U318&lt;=10,U318=INT(U318)),FALSE),IF(ISNUMBER(V318),AND(V318&gt;=1,V318&lt;=10,V318=INT(V318)),FALSE),IF(ISNUMBER(W318),AND(W318&gt;=1,W318&lt;=10,W318=INT(W318)),FALSE)),U318*V318*W318,"")</f>
        <v/>
      </c>
      <c r="Y318" s="54" t="str">
        <f>IF(X318="","",IF(OR(U318&gt;=p_gmin,X318&gt;=p_ipr_crit),"Critique",IF(X318&gt;=p_ipr_act,"Élevée",IF(X318&gt;=p_ipr_watch,"Moyenne","Faible"))))</f>
        <v/>
      </c>
      <c r="Z318" s="57" t="str">
        <f>IF(X318="","",(L318-X318)/L318)</f>
        <v/>
      </c>
      <c r="AA318" s="54" t="str">
        <f>IF(AND(D318="",O318=""),"",IF(O318="",IF(N318="Oui","Action à définir",IF(N318="Non","Sans action","")),IF(R318="Annulée","Annulée",IF(R318="Réalisée",IF(X318="","À réévaluer","Réalisée"),IF(N(Q318)=0,"Échéance manquante",IF(Q318&lt;p_today,"En retard",IF(Q318-p_today&lt;=p_alert,"Échéance proche","Dans les délais")))))))</f>
        <v/>
      </c>
      <c r="AB318" s="58" t="str">
        <f>IF(AND(A318="",B318="",D318="",F318="",H318="",K318="",O318=""),"",IF(D318="","Mode de défaillance manquant",IF(AND(A318&lt;&gt;"",COUNTIF(am_num,A318)&gt;1),"N° en double",IF(F318="","Gravité G manquante",IF(NOT(IF(ISNUMBER(F318),AND(F318&gt;=1,F318&lt;=10,F318=INT(F318)),FALSE)),"G : entier de 1 à 10",IF(H318="","Occurrence O manquante",IF(NOT(IF(ISNUMBER(H318),AND(H318&gt;=1,H318&lt;=10,H318=INT(H318)),FALSE)),"O : entier de 1 à 10",IF(K318="","Détection D manquante",IF(NOT(IF(ISNUMBER(K318),AND(K318&gt;=1,K318&lt;=10,K318=INT(K318)),FALSE)),"D : entier de 1 à 10",IF(G318="","Cause manquante",IF(AND(O318&lt;&gt;"",P318=""),"Responsable manquant",IF(AND(R318&lt;&gt;"",O318=""),"Statut sans action",IF(AND(R318="Réalisée",N(S318)=0),"Date de réalisation manquante",IF(AND(T318&lt;&gt;"",IF(ISNUMBER(T318),T318&lt;0,TRUE)),"Coût invalide",IF(AND(COUNTBLANK(U318:W318)&gt;0,COUNTBLANK(U318:W318)&lt;3),"Cotation après action incomplète",IF(AND(COUNTBLANK(U318:W318)=0,X318=""),"G', O', D' : entiers de 1 à 10",IF(AND(X318&lt;&gt;"",X318&gt;L318),"IPR après action plus élevé","OK")))))))))))))))))</f>
        <v/>
      </c>
      <c r="AC318" s="59" t="str">
        <f>IF(OR(AA318="En retard",AA318="Échéance proche",AA318="Dans les délais",AA318="Échéance manquante",AA318="Action à définir",AA318="À réévaluer"),IF(OR(plan_who="",P318=plan_who),IF(N(Q318)&gt;0,Q318,99999)*1000+ROW(),""),"")</f>
        <v/>
      </c>
      <c r="AD318" s="59" t="str">
        <f>IF(L318="","",L318*1000+1000-ROW())</f>
        <v/>
      </c>
      <c r="AE318" s="59" t="str">
        <f>IF(IF(AA318="En retard",1,IF(AA318="Action à définir",2,IF(AA318="Échéance manquante",3,IF(AA318="Échéance proche",4,IF(AA318="À réévaluer",5,0)))))=0,"",IF(AA318="En retard",1,IF(AA318="Action à définir",2,IF(AA318="Échéance manquante",3,IF(AA318="Échéance proche",4,IF(AA318="À réévaluer",5,0)))))*100000000+IF(N(Q318)&gt;0,Q318,99999)*1000+ROW())</f>
        <v/>
      </c>
      <c r="AF318" s="59" t="str">
        <f>IF(X318&lt;&gt;"",X318,L318)</f>
        <v/>
      </c>
      <c r="AG318" s="59" t="str">
        <f>IF(X318&lt;&gt;"",Y318,IF(L318&lt;&gt;"",M318,""))</f>
        <v/>
      </c>
      <c r="AH318" s="59" t="str">
        <f>IF(L318="","",IF(X318&lt;&gt;"",U318,F318))</f>
        <v/>
      </c>
      <c r="AI318" s="59" t="str">
        <f>IF(L318="","",IF(X318&lt;&gt;"",V318,H318))</f>
        <v/>
      </c>
    </row>
    <row r="319" ht="30" customHeight="1">
      <c r="A319" s="50" t="n"/>
      <c r="B319" s="51" t="n"/>
      <c r="C319" s="51" t="n"/>
      <c r="D319" s="51" t="n"/>
      <c r="E319" s="51" t="n"/>
      <c r="F319" s="52" t="n"/>
      <c r="G319" s="51" t="n"/>
      <c r="H319" s="52" t="n"/>
      <c r="I319" s="51" t="n"/>
      <c r="J319" s="51" t="n"/>
      <c r="K319" s="52" t="n"/>
      <c r="L319" s="53" t="str">
        <f>IF(AND(IF(ISNUMBER(F319),AND(F319&gt;=1,F319&lt;=10,F319=INT(F319)),FALSE),IF(ISNUMBER(H319),AND(H319&gt;=1,H319&lt;=10,H319=INT(H319)),FALSE),IF(ISNUMBER(K319),AND(K319&gt;=1,K319&lt;=10,K319=INT(K319)),FALSE)),F319*H319*K319,"")</f>
        <v/>
      </c>
      <c r="M319" s="54" t="str">
        <f>IF(L319="",IF(D319="","","À coter"),IF(OR(F319&gt;=p_gmin,L319&gt;=p_ipr_crit),"Critique",IF(L319&gt;=p_ipr_act,"Élevée",IF(L319&gt;=p_ipr_watch,"Moyenne","Faible"))))</f>
        <v/>
      </c>
      <c r="N319" s="54" t="str">
        <f>IF(OR(M319="",M319="À coter"),"",IF(OR(M319="Critique",M319="Élevée"),"Oui","Non"))</f>
        <v/>
      </c>
      <c r="O319" s="51" t="n"/>
      <c r="P319" s="51" t="n"/>
      <c r="Q319" s="55" t="n"/>
      <c r="R319" s="50" t="n"/>
      <c r="S319" s="55" t="n"/>
      <c r="T319" s="56" t="n"/>
      <c r="U319" s="52" t="n"/>
      <c r="V319" s="52" t="n"/>
      <c r="W319" s="52" t="n"/>
      <c r="X319" s="53" t="str">
        <f>IF(AND(L319&lt;&gt;"",IF(ISNUMBER(U319),AND(U319&gt;=1,U319&lt;=10,U319=INT(U319)),FALSE),IF(ISNUMBER(V319),AND(V319&gt;=1,V319&lt;=10,V319=INT(V319)),FALSE),IF(ISNUMBER(W319),AND(W319&gt;=1,W319&lt;=10,W319=INT(W319)),FALSE)),U319*V319*W319,"")</f>
        <v/>
      </c>
      <c r="Y319" s="54" t="str">
        <f>IF(X319="","",IF(OR(U319&gt;=p_gmin,X319&gt;=p_ipr_crit),"Critique",IF(X319&gt;=p_ipr_act,"Élevée",IF(X319&gt;=p_ipr_watch,"Moyenne","Faible"))))</f>
        <v/>
      </c>
      <c r="Z319" s="57" t="str">
        <f>IF(X319="","",(L319-X319)/L319)</f>
        <v/>
      </c>
      <c r="AA319" s="54" t="str">
        <f>IF(AND(D319="",O319=""),"",IF(O319="",IF(N319="Oui","Action à définir",IF(N319="Non","Sans action","")),IF(R319="Annulée","Annulée",IF(R319="Réalisée",IF(X319="","À réévaluer","Réalisée"),IF(N(Q319)=0,"Échéance manquante",IF(Q319&lt;p_today,"En retard",IF(Q319-p_today&lt;=p_alert,"Échéance proche","Dans les délais")))))))</f>
        <v/>
      </c>
      <c r="AB319" s="58" t="str">
        <f>IF(AND(A319="",B319="",D319="",F319="",H319="",K319="",O319=""),"",IF(D319="","Mode de défaillance manquant",IF(AND(A319&lt;&gt;"",COUNTIF(am_num,A319)&gt;1),"N° en double",IF(F319="","Gravité G manquante",IF(NOT(IF(ISNUMBER(F319),AND(F319&gt;=1,F319&lt;=10,F319=INT(F319)),FALSE)),"G : entier de 1 à 10",IF(H319="","Occurrence O manquante",IF(NOT(IF(ISNUMBER(H319),AND(H319&gt;=1,H319&lt;=10,H319=INT(H319)),FALSE)),"O : entier de 1 à 10",IF(K319="","Détection D manquante",IF(NOT(IF(ISNUMBER(K319),AND(K319&gt;=1,K319&lt;=10,K319=INT(K319)),FALSE)),"D : entier de 1 à 10",IF(G319="","Cause manquante",IF(AND(O319&lt;&gt;"",P319=""),"Responsable manquant",IF(AND(R319&lt;&gt;"",O319=""),"Statut sans action",IF(AND(R319="Réalisée",N(S319)=0),"Date de réalisation manquante",IF(AND(T319&lt;&gt;"",IF(ISNUMBER(T319),T319&lt;0,TRUE)),"Coût invalide",IF(AND(COUNTBLANK(U319:W319)&gt;0,COUNTBLANK(U319:W319)&lt;3),"Cotation après action incomplète",IF(AND(COUNTBLANK(U319:W319)=0,X319=""),"G', O', D' : entiers de 1 à 10",IF(AND(X319&lt;&gt;"",X319&gt;L319),"IPR après action plus élevé","OK")))))))))))))))))</f>
        <v/>
      </c>
      <c r="AC319" s="59" t="str">
        <f>IF(OR(AA319="En retard",AA319="Échéance proche",AA319="Dans les délais",AA319="Échéance manquante",AA319="Action à définir",AA319="À réévaluer"),IF(OR(plan_who="",P319=plan_who),IF(N(Q319)&gt;0,Q319,99999)*1000+ROW(),""),"")</f>
        <v/>
      </c>
      <c r="AD319" s="59" t="str">
        <f>IF(L319="","",L319*1000+1000-ROW())</f>
        <v/>
      </c>
      <c r="AE319" s="59" t="str">
        <f>IF(IF(AA319="En retard",1,IF(AA319="Action à définir",2,IF(AA319="Échéance manquante",3,IF(AA319="Échéance proche",4,IF(AA319="À réévaluer",5,0)))))=0,"",IF(AA319="En retard",1,IF(AA319="Action à définir",2,IF(AA319="Échéance manquante",3,IF(AA319="Échéance proche",4,IF(AA319="À réévaluer",5,0)))))*100000000+IF(N(Q319)&gt;0,Q319,99999)*1000+ROW())</f>
        <v/>
      </c>
      <c r="AF319" s="59" t="str">
        <f>IF(X319&lt;&gt;"",X319,L319)</f>
        <v/>
      </c>
      <c r="AG319" s="59" t="str">
        <f>IF(X319&lt;&gt;"",Y319,IF(L319&lt;&gt;"",M319,""))</f>
        <v/>
      </c>
      <c r="AH319" s="59" t="str">
        <f>IF(L319="","",IF(X319&lt;&gt;"",U319,F319))</f>
        <v/>
      </c>
      <c r="AI319" s="59" t="str">
        <f>IF(L319="","",IF(X319&lt;&gt;"",V319,H319))</f>
        <v/>
      </c>
    </row>
    <row r="320" ht="30" customHeight="1">
      <c r="A320" s="50" t="n"/>
      <c r="B320" s="51" t="n"/>
      <c r="C320" s="51" t="n"/>
      <c r="D320" s="51" t="n"/>
      <c r="E320" s="51" t="n"/>
      <c r="F320" s="52" t="n"/>
      <c r="G320" s="51" t="n"/>
      <c r="H320" s="52" t="n"/>
      <c r="I320" s="51" t="n"/>
      <c r="J320" s="51" t="n"/>
      <c r="K320" s="52" t="n"/>
      <c r="L320" s="53" t="str">
        <f>IF(AND(IF(ISNUMBER(F320),AND(F320&gt;=1,F320&lt;=10,F320=INT(F320)),FALSE),IF(ISNUMBER(H320),AND(H320&gt;=1,H320&lt;=10,H320=INT(H320)),FALSE),IF(ISNUMBER(K320),AND(K320&gt;=1,K320&lt;=10,K320=INT(K320)),FALSE)),F320*H320*K320,"")</f>
        <v/>
      </c>
      <c r="M320" s="54" t="str">
        <f>IF(L320="",IF(D320="","","À coter"),IF(OR(F320&gt;=p_gmin,L320&gt;=p_ipr_crit),"Critique",IF(L320&gt;=p_ipr_act,"Élevée",IF(L320&gt;=p_ipr_watch,"Moyenne","Faible"))))</f>
        <v/>
      </c>
      <c r="N320" s="54" t="str">
        <f>IF(OR(M320="",M320="À coter"),"",IF(OR(M320="Critique",M320="Élevée"),"Oui","Non"))</f>
        <v/>
      </c>
      <c r="O320" s="51" t="n"/>
      <c r="P320" s="51" t="n"/>
      <c r="Q320" s="55" t="n"/>
      <c r="R320" s="50" t="n"/>
      <c r="S320" s="55" t="n"/>
      <c r="T320" s="56" t="n"/>
      <c r="U320" s="52" t="n"/>
      <c r="V320" s="52" t="n"/>
      <c r="W320" s="52" t="n"/>
      <c r="X320" s="53" t="str">
        <f>IF(AND(L320&lt;&gt;"",IF(ISNUMBER(U320),AND(U320&gt;=1,U320&lt;=10,U320=INT(U320)),FALSE),IF(ISNUMBER(V320),AND(V320&gt;=1,V320&lt;=10,V320=INT(V320)),FALSE),IF(ISNUMBER(W320),AND(W320&gt;=1,W320&lt;=10,W320=INT(W320)),FALSE)),U320*V320*W320,"")</f>
        <v/>
      </c>
      <c r="Y320" s="54" t="str">
        <f>IF(X320="","",IF(OR(U320&gt;=p_gmin,X320&gt;=p_ipr_crit),"Critique",IF(X320&gt;=p_ipr_act,"Élevée",IF(X320&gt;=p_ipr_watch,"Moyenne","Faible"))))</f>
        <v/>
      </c>
      <c r="Z320" s="57" t="str">
        <f>IF(X320="","",(L320-X320)/L320)</f>
        <v/>
      </c>
      <c r="AA320" s="54" t="str">
        <f>IF(AND(D320="",O320=""),"",IF(O320="",IF(N320="Oui","Action à définir",IF(N320="Non","Sans action","")),IF(R320="Annulée","Annulée",IF(R320="Réalisée",IF(X320="","À réévaluer","Réalisée"),IF(N(Q320)=0,"Échéance manquante",IF(Q320&lt;p_today,"En retard",IF(Q320-p_today&lt;=p_alert,"Échéance proche","Dans les délais")))))))</f>
        <v/>
      </c>
      <c r="AB320" s="58" t="str">
        <f>IF(AND(A320="",B320="",D320="",F320="",H320="",K320="",O320=""),"",IF(D320="","Mode de défaillance manquant",IF(AND(A320&lt;&gt;"",COUNTIF(am_num,A320)&gt;1),"N° en double",IF(F320="","Gravité G manquante",IF(NOT(IF(ISNUMBER(F320),AND(F320&gt;=1,F320&lt;=10,F320=INT(F320)),FALSE)),"G : entier de 1 à 10",IF(H320="","Occurrence O manquante",IF(NOT(IF(ISNUMBER(H320),AND(H320&gt;=1,H320&lt;=10,H320=INT(H320)),FALSE)),"O : entier de 1 à 10",IF(K320="","Détection D manquante",IF(NOT(IF(ISNUMBER(K320),AND(K320&gt;=1,K320&lt;=10,K320=INT(K320)),FALSE)),"D : entier de 1 à 10",IF(G320="","Cause manquante",IF(AND(O320&lt;&gt;"",P320=""),"Responsable manquant",IF(AND(R320&lt;&gt;"",O320=""),"Statut sans action",IF(AND(R320="Réalisée",N(S320)=0),"Date de réalisation manquante",IF(AND(T320&lt;&gt;"",IF(ISNUMBER(T320),T320&lt;0,TRUE)),"Coût invalide",IF(AND(COUNTBLANK(U320:W320)&gt;0,COUNTBLANK(U320:W320)&lt;3),"Cotation après action incomplète",IF(AND(COUNTBLANK(U320:W320)=0,X320=""),"G', O', D' : entiers de 1 à 10",IF(AND(X320&lt;&gt;"",X320&gt;L320),"IPR après action plus élevé","OK")))))))))))))))))</f>
        <v/>
      </c>
      <c r="AC320" s="59" t="str">
        <f>IF(OR(AA320="En retard",AA320="Échéance proche",AA320="Dans les délais",AA320="Échéance manquante",AA320="Action à définir",AA320="À réévaluer"),IF(OR(plan_who="",P320=plan_who),IF(N(Q320)&gt;0,Q320,99999)*1000+ROW(),""),"")</f>
        <v/>
      </c>
      <c r="AD320" s="59" t="str">
        <f>IF(L320="","",L320*1000+1000-ROW())</f>
        <v/>
      </c>
      <c r="AE320" s="59" t="str">
        <f>IF(IF(AA320="En retard",1,IF(AA320="Action à définir",2,IF(AA320="Échéance manquante",3,IF(AA320="Échéance proche",4,IF(AA320="À réévaluer",5,0)))))=0,"",IF(AA320="En retard",1,IF(AA320="Action à définir",2,IF(AA320="Échéance manquante",3,IF(AA320="Échéance proche",4,IF(AA320="À réévaluer",5,0)))))*100000000+IF(N(Q320)&gt;0,Q320,99999)*1000+ROW())</f>
        <v/>
      </c>
      <c r="AF320" s="59" t="str">
        <f>IF(X320&lt;&gt;"",X320,L320)</f>
        <v/>
      </c>
      <c r="AG320" s="59" t="str">
        <f>IF(X320&lt;&gt;"",Y320,IF(L320&lt;&gt;"",M320,""))</f>
        <v/>
      </c>
      <c r="AH320" s="59" t="str">
        <f>IF(L320="","",IF(X320&lt;&gt;"",U320,F320))</f>
        <v/>
      </c>
      <c r="AI320" s="59" t="str">
        <f>IF(L320="","",IF(X320&lt;&gt;"",V320,H320))</f>
        <v/>
      </c>
    </row>
    <row r="321" ht="30" customHeight="1">
      <c r="A321" s="50" t="n"/>
      <c r="B321" s="51" t="n"/>
      <c r="C321" s="51" t="n"/>
      <c r="D321" s="51" t="n"/>
      <c r="E321" s="51" t="n"/>
      <c r="F321" s="52" t="n"/>
      <c r="G321" s="51" t="n"/>
      <c r="H321" s="52" t="n"/>
      <c r="I321" s="51" t="n"/>
      <c r="J321" s="51" t="n"/>
      <c r="K321" s="52" t="n"/>
      <c r="L321" s="53" t="str">
        <f>IF(AND(IF(ISNUMBER(F321),AND(F321&gt;=1,F321&lt;=10,F321=INT(F321)),FALSE),IF(ISNUMBER(H321),AND(H321&gt;=1,H321&lt;=10,H321=INT(H321)),FALSE),IF(ISNUMBER(K321),AND(K321&gt;=1,K321&lt;=10,K321=INT(K321)),FALSE)),F321*H321*K321,"")</f>
        <v/>
      </c>
      <c r="M321" s="54" t="str">
        <f>IF(L321="",IF(D321="","","À coter"),IF(OR(F321&gt;=p_gmin,L321&gt;=p_ipr_crit),"Critique",IF(L321&gt;=p_ipr_act,"Élevée",IF(L321&gt;=p_ipr_watch,"Moyenne","Faible"))))</f>
        <v/>
      </c>
      <c r="N321" s="54" t="str">
        <f>IF(OR(M321="",M321="À coter"),"",IF(OR(M321="Critique",M321="Élevée"),"Oui","Non"))</f>
        <v/>
      </c>
      <c r="O321" s="51" t="n"/>
      <c r="P321" s="51" t="n"/>
      <c r="Q321" s="55" t="n"/>
      <c r="R321" s="50" t="n"/>
      <c r="S321" s="55" t="n"/>
      <c r="T321" s="56" t="n"/>
      <c r="U321" s="52" t="n"/>
      <c r="V321" s="52" t="n"/>
      <c r="W321" s="52" t="n"/>
      <c r="X321" s="53" t="str">
        <f>IF(AND(L321&lt;&gt;"",IF(ISNUMBER(U321),AND(U321&gt;=1,U321&lt;=10,U321=INT(U321)),FALSE),IF(ISNUMBER(V321),AND(V321&gt;=1,V321&lt;=10,V321=INT(V321)),FALSE),IF(ISNUMBER(W321),AND(W321&gt;=1,W321&lt;=10,W321=INT(W321)),FALSE)),U321*V321*W321,"")</f>
        <v/>
      </c>
      <c r="Y321" s="54" t="str">
        <f>IF(X321="","",IF(OR(U321&gt;=p_gmin,X321&gt;=p_ipr_crit),"Critique",IF(X321&gt;=p_ipr_act,"Élevée",IF(X321&gt;=p_ipr_watch,"Moyenne","Faible"))))</f>
        <v/>
      </c>
      <c r="Z321" s="57" t="str">
        <f>IF(X321="","",(L321-X321)/L321)</f>
        <v/>
      </c>
      <c r="AA321" s="54" t="str">
        <f>IF(AND(D321="",O321=""),"",IF(O321="",IF(N321="Oui","Action à définir",IF(N321="Non","Sans action","")),IF(R321="Annulée","Annulée",IF(R321="Réalisée",IF(X321="","À réévaluer","Réalisée"),IF(N(Q321)=0,"Échéance manquante",IF(Q321&lt;p_today,"En retard",IF(Q321-p_today&lt;=p_alert,"Échéance proche","Dans les délais")))))))</f>
        <v/>
      </c>
      <c r="AB321" s="58" t="str">
        <f>IF(AND(A321="",B321="",D321="",F321="",H321="",K321="",O321=""),"",IF(D321="","Mode de défaillance manquant",IF(AND(A321&lt;&gt;"",COUNTIF(am_num,A321)&gt;1),"N° en double",IF(F321="","Gravité G manquante",IF(NOT(IF(ISNUMBER(F321),AND(F321&gt;=1,F321&lt;=10,F321=INT(F321)),FALSE)),"G : entier de 1 à 10",IF(H321="","Occurrence O manquante",IF(NOT(IF(ISNUMBER(H321),AND(H321&gt;=1,H321&lt;=10,H321=INT(H321)),FALSE)),"O : entier de 1 à 10",IF(K321="","Détection D manquante",IF(NOT(IF(ISNUMBER(K321),AND(K321&gt;=1,K321&lt;=10,K321=INT(K321)),FALSE)),"D : entier de 1 à 10",IF(G321="","Cause manquante",IF(AND(O321&lt;&gt;"",P321=""),"Responsable manquant",IF(AND(R321&lt;&gt;"",O321=""),"Statut sans action",IF(AND(R321="Réalisée",N(S321)=0),"Date de réalisation manquante",IF(AND(T321&lt;&gt;"",IF(ISNUMBER(T321),T321&lt;0,TRUE)),"Coût invalide",IF(AND(COUNTBLANK(U321:W321)&gt;0,COUNTBLANK(U321:W321)&lt;3),"Cotation après action incomplète",IF(AND(COUNTBLANK(U321:W321)=0,X321=""),"G', O', D' : entiers de 1 à 10",IF(AND(X321&lt;&gt;"",X321&gt;L321),"IPR après action plus élevé","OK")))))))))))))))))</f>
        <v/>
      </c>
      <c r="AC321" s="59" t="str">
        <f>IF(OR(AA321="En retard",AA321="Échéance proche",AA321="Dans les délais",AA321="Échéance manquante",AA321="Action à définir",AA321="À réévaluer"),IF(OR(plan_who="",P321=plan_who),IF(N(Q321)&gt;0,Q321,99999)*1000+ROW(),""),"")</f>
        <v/>
      </c>
      <c r="AD321" s="59" t="str">
        <f>IF(L321="","",L321*1000+1000-ROW())</f>
        <v/>
      </c>
      <c r="AE321" s="59" t="str">
        <f>IF(IF(AA321="En retard",1,IF(AA321="Action à définir",2,IF(AA321="Échéance manquante",3,IF(AA321="Échéance proche",4,IF(AA321="À réévaluer",5,0)))))=0,"",IF(AA321="En retard",1,IF(AA321="Action à définir",2,IF(AA321="Échéance manquante",3,IF(AA321="Échéance proche",4,IF(AA321="À réévaluer",5,0)))))*100000000+IF(N(Q321)&gt;0,Q321,99999)*1000+ROW())</f>
        <v/>
      </c>
      <c r="AF321" s="59" t="str">
        <f>IF(X321&lt;&gt;"",X321,L321)</f>
        <v/>
      </c>
      <c r="AG321" s="59" t="str">
        <f>IF(X321&lt;&gt;"",Y321,IF(L321&lt;&gt;"",M321,""))</f>
        <v/>
      </c>
      <c r="AH321" s="59" t="str">
        <f>IF(L321="","",IF(X321&lt;&gt;"",U321,F321))</f>
        <v/>
      </c>
      <c r="AI321" s="59" t="str">
        <f>IF(L321="","",IF(X321&lt;&gt;"",V321,H321))</f>
        <v/>
      </c>
    </row>
    <row r="322" ht="30" customHeight="1">
      <c r="A322" s="50" t="n"/>
      <c r="B322" s="51" t="n"/>
      <c r="C322" s="51" t="n"/>
      <c r="D322" s="51" t="n"/>
      <c r="E322" s="51" t="n"/>
      <c r="F322" s="52" t="n"/>
      <c r="G322" s="51" t="n"/>
      <c r="H322" s="52" t="n"/>
      <c r="I322" s="51" t="n"/>
      <c r="J322" s="51" t="n"/>
      <c r="K322" s="52" t="n"/>
      <c r="L322" s="53" t="str">
        <f>IF(AND(IF(ISNUMBER(F322),AND(F322&gt;=1,F322&lt;=10,F322=INT(F322)),FALSE),IF(ISNUMBER(H322),AND(H322&gt;=1,H322&lt;=10,H322=INT(H322)),FALSE),IF(ISNUMBER(K322),AND(K322&gt;=1,K322&lt;=10,K322=INT(K322)),FALSE)),F322*H322*K322,"")</f>
        <v/>
      </c>
      <c r="M322" s="54" t="str">
        <f>IF(L322="",IF(D322="","","À coter"),IF(OR(F322&gt;=p_gmin,L322&gt;=p_ipr_crit),"Critique",IF(L322&gt;=p_ipr_act,"Élevée",IF(L322&gt;=p_ipr_watch,"Moyenne","Faible"))))</f>
        <v/>
      </c>
      <c r="N322" s="54" t="str">
        <f>IF(OR(M322="",M322="À coter"),"",IF(OR(M322="Critique",M322="Élevée"),"Oui","Non"))</f>
        <v/>
      </c>
      <c r="O322" s="51" t="n"/>
      <c r="P322" s="51" t="n"/>
      <c r="Q322" s="55" t="n"/>
      <c r="R322" s="50" t="n"/>
      <c r="S322" s="55" t="n"/>
      <c r="T322" s="56" t="n"/>
      <c r="U322" s="52" t="n"/>
      <c r="V322" s="52" t="n"/>
      <c r="W322" s="52" t="n"/>
      <c r="X322" s="53" t="str">
        <f>IF(AND(L322&lt;&gt;"",IF(ISNUMBER(U322),AND(U322&gt;=1,U322&lt;=10,U322=INT(U322)),FALSE),IF(ISNUMBER(V322),AND(V322&gt;=1,V322&lt;=10,V322=INT(V322)),FALSE),IF(ISNUMBER(W322),AND(W322&gt;=1,W322&lt;=10,W322=INT(W322)),FALSE)),U322*V322*W322,"")</f>
        <v/>
      </c>
      <c r="Y322" s="54" t="str">
        <f>IF(X322="","",IF(OR(U322&gt;=p_gmin,X322&gt;=p_ipr_crit),"Critique",IF(X322&gt;=p_ipr_act,"Élevée",IF(X322&gt;=p_ipr_watch,"Moyenne","Faible"))))</f>
        <v/>
      </c>
      <c r="Z322" s="57" t="str">
        <f>IF(X322="","",(L322-X322)/L322)</f>
        <v/>
      </c>
      <c r="AA322" s="54" t="str">
        <f>IF(AND(D322="",O322=""),"",IF(O322="",IF(N322="Oui","Action à définir",IF(N322="Non","Sans action","")),IF(R322="Annulée","Annulée",IF(R322="Réalisée",IF(X322="","À réévaluer","Réalisée"),IF(N(Q322)=0,"Échéance manquante",IF(Q322&lt;p_today,"En retard",IF(Q322-p_today&lt;=p_alert,"Échéance proche","Dans les délais")))))))</f>
        <v/>
      </c>
      <c r="AB322" s="58" t="str">
        <f>IF(AND(A322="",B322="",D322="",F322="",H322="",K322="",O322=""),"",IF(D322="","Mode de défaillance manquant",IF(AND(A322&lt;&gt;"",COUNTIF(am_num,A322)&gt;1),"N° en double",IF(F322="","Gravité G manquante",IF(NOT(IF(ISNUMBER(F322),AND(F322&gt;=1,F322&lt;=10,F322=INT(F322)),FALSE)),"G : entier de 1 à 10",IF(H322="","Occurrence O manquante",IF(NOT(IF(ISNUMBER(H322),AND(H322&gt;=1,H322&lt;=10,H322=INT(H322)),FALSE)),"O : entier de 1 à 10",IF(K322="","Détection D manquante",IF(NOT(IF(ISNUMBER(K322),AND(K322&gt;=1,K322&lt;=10,K322=INT(K322)),FALSE)),"D : entier de 1 à 10",IF(G322="","Cause manquante",IF(AND(O322&lt;&gt;"",P322=""),"Responsable manquant",IF(AND(R322&lt;&gt;"",O322=""),"Statut sans action",IF(AND(R322="Réalisée",N(S322)=0),"Date de réalisation manquante",IF(AND(T322&lt;&gt;"",IF(ISNUMBER(T322),T322&lt;0,TRUE)),"Coût invalide",IF(AND(COUNTBLANK(U322:W322)&gt;0,COUNTBLANK(U322:W322)&lt;3),"Cotation après action incomplète",IF(AND(COUNTBLANK(U322:W322)=0,X322=""),"G', O', D' : entiers de 1 à 10",IF(AND(X322&lt;&gt;"",X322&gt;L322),"IPR après action plus élevé","OK")))))))))))))))))</f>
        <v/>
      </c>
      <c r="AC322" s="59" t="str">
        <f>IF(OR(AA322="En retard",AA322="Échéance proche",AA322="Dans les délais",AA322="Échéance manquante",AA322="Action à définir",AA322="À réévaluer"),IF(OR(plan_who="",P322=plan_who),IF(N(Q322)&gt;0,Q322,99999)*1000+ROW(),""),"")</f>
        <v/>
      </c>
      <c r="AD322" s="59" t="str">
        <f>IF(L322="","",L322*1000+1000-ROW())</f>
        <v/>
      </c>
      <c r="AE322" s="59" t="str">
        <f>IF(IF(AA322="En retard",1,IF(AA322="Action à définir",2,IF(AA322="Échéance manquante",3,IF(AA322="Échéance proche",4,IF(AA322="À réévaluer",5,0)))))=0,"",IF(AA322="En retard",1,IF(AA322="Action à définir",2,IF(AA322="Échéance manquante",3,IF(AA322="Échéance proche",4,IF(AA322="À réévaluer",5,0)))))*100000000+IF(N(Q322)&gt;0,Q322,99999)*1000+ROW())</f>
        <v/>
      </c>
      <c r="AF322" s="59" t="str">
        <f>IF(X322&lt;&gt;"",X322,L322)</f>
        <v/>
      </c>
      <c r="AG322" s="59" t="str">
        <f>IF(X322&lt;&gt;"",Y322,IF(L322&lt;&gt;"",M322,""))</f>
        <v/>
      </c>
      <c r="AH322" s="59" t="str">
        <f>IF(L322="","",IF(X322&lt;&gt;"",U322,F322))</f>
        <v/>
      </c>
      <c r="AI322" s="59" t="str">
        <f>IF(L322="","",IF(X322&lt;&gt;"",V322,H322))</f>
        <v/>
      </c>
    </row>
    <row r="323" ht="30" customHeight="1">
      <c r="A323" s="50" t="n"/>
      <c r="B323" s="51" t="n"/>
      <c r="C323" s="51" t="n"/>
      <c r="D323" s="51" t="n"/>
      <c r="E323" s="51" t="n"/>
      <c r="F323" s="52" t="n"/>
      <c r="G323" s="51" t="n"/>
      <c r="H323" s="52" t="n"/>
      <c r="I323" s="51" t="n"/>
      <c r="J323" s="51" t="n"/>
      <c r="K323" s="52" t="n"/>
      <c r="L323" s="53" t="str">
        <f>IF(AND(IF(ISNUMBER(F323),AND(F323&gt;=1,F323&lt;=10,F323=INT(F323)),FALSE),IF(ISNUMBER(H323),AND(H323&gt;=1,H323&lt;=10,H323=INT(H323)),FALSE),IF(ISNUMBER(K323),AND(K323&gt;=1,K323&lt;=10,K323=INT(K323)),FALSE)),F323*H323*K323,"")</f>
        <v/>
      </c>
      <c r="M323" s="54" t="str">
        <f>IF(L323="",IF(D323="","","À coter"),IF(OR(F323&gt;=p_gmin,L323&gt;=p_ipr_crit),"Critique",IF(L323&gt;=p_ipr_act,"Élevée",IF(L323&gt;=p_ipr_watch,"Moyenne","Faible"))))</f>
        <v/>
      </c>
      <c r="N323" s="54" t="str">
        <f>IF(OR(M323="",M323="À coter"),"",IF(OR(M323="Critique",M323="Élevée"),"Oui","Non"))</f>
        <v/>
      </c>
      <c r="O323" s="51" t="n"/>
      <c r="P323" s="51" t="n"/>
      <c r="Q323" s="55" t="n"/>
      <c r="R323" s="50" t="n"/>
      <c r="S323" s="55" t="n"/>
      <c r="T323" s="56" t="n"/>
      <c r="U323" s="52" t="n"/>
      <c r="V323" s="52" t="n"/>
      <c r="W323" s="52" t="n"/>
      <c r="X323" s="53" t="str">
        <f>IF(AND(L323&lt;&gt;"",IF(ISNUMBER(U323),AND(U323&gt;=1,U323&lt;=10,U323=INT(U323)),FALSE),IF(ISNUMBER(V323),AND(V323&gt;=1,V323&lt;=10,V323=INT(V323)),FALSE),IF(ISNUMBER(W323),AND(W323&gt;=1,W323&lt;=10,W323=INT(W323)),FALSE)),U323*V323*W323,"")</f>
        <v/>
      </c>
      <c r="Y323" s="54" t="str">
        <f>IF(X323="","",IF(OR(U323&gt;=p_gmin,X323&gt;=p_ipr_crit),"Critique",IF(X323&gt;=p_ipr_act,"Élevée",IF(X323&gt;=p_ipr_watch,"Moyenne","Faible"))))</f>
        <v/>
      </c>
      <c r="Z323" s="57" t="str">
        <f>IF(X323="","",(L323-X323)/L323)</f>
        <v/>
      </c>
      <c r="AA323" s="54" t="str">
        <f>IF(AND(D323="",O323=""),"",IF(O323="",IF(N323="Oui","Action à définir",IF(N323="Non","Sans action","")),IF(R323="Annulée","Annulée",IF(R323="Réalisée",IF(X323="","À réévaluer","Réalisée"),IF(N(Q323)=0,"Échéance manquante",IF(Q323&lt;p_today,"En retard",IF(Q323-p_today&lt;=p_alert,"Échéance proche","Dans les délais")))))))</f>
        <v/>
      </c>
      <c r="AB323" s="58" t="str">
        <f>IF(AND(A323="",B323="",D323="",F323="",H323="",K323="",O323=""),"",IF(D323="","Mode de défaillance manquant",IF(AND(A323&lt;&gt;"",COUNTIF(am_num,A323)&gt;1),"N° en double",IF(F323="","Gravité G manquante",IF(NOT(IF(ISNUMBER(F323),AND(F323&gt;=1,F323&lt;=10,F323=INT(F323)),FALSE)),"G : entier de 1 à 10",IF(H323="","Occurrence O manquante",IF(NOT(IF(ISNUMBER(H323),AND(H323&gt;=1,H323&lt;=10,H323=INT(H323)),FALSE)),"O : entier de 1 à 10",IF(K323="","Détection D manquante",IF(NOT(IF(ISNUMBER(K323),AND(K323&gt;=1,K323&lt;=10,K323=INT(K323)),FALSE)),"D : entier de 1 à 10",IF(G323="","Cause manquante",IF(AND(O323&lt;&gt;"",P323=""),"Responsable manquant",IF(AND(R323&lt;&gt;"",O323=""),"Statut sans action",IF(AND(R323="Réalisée",N(S323)=0),"Date de réalisation manquante",IF(AND(T323&lt;&gt;"",IF(ISNUMBER(T323),T323&lt;0,TRUE)),"Coût invalide",IF(AND(COUNTBLANK(U323:W323)&gt;0,COUNTBLANK(U323:W323)&lt;3),"Cotation après action incomplète",IF(AND(COUNTBLANK(U323:W323)=0,X323=""),"G', O', D' : entiers de 1 à 10",IF(AND(X323&lt;&gt;"",X323&gt;L323),"IPR après action plus élevé","OK")))))))))))))))))</f>
        <v/>
      </c>
      <c r="AC323" s="59" t="str">
        <f>IF(OR(AA323="En retard",AA323="Échéance proche",AA323="Dans les délais",AA323="Échéance manquante",AA323="Action à définir",AA323="À réévaluer"),IF(OR(plan_who="",P323=plan_who),IF(N(Q323)&gt;0,Q323,99999)*1000+ROW(),""),"")</f>
        <v/>
      </c>
      <c r="AD323" s="59" t="str">
        <f>IF(L323="","",L323*1000+1000-ROW())</f>
        <v/>
      </c>
      <c r="AE323" s="59" t="str">
        <f>IF(IF(AA323="En retard",1,IF(AA323="Action à définir",2,IF(AA323="Échéance manquante",3,IF(AA323="Échéance proche",4,IF(AA323="À réévaluer",5,0)))))=0,"",IF(AA323="En retard",1,IF(AA323="Action à définir",2,IF(AA323="Échéance manquante",3,IF(AA323="Échéance proche",4,IF(AA323="À réévaluer",5,0)))))*100000000+IF(N(Q323)&gt;0,Q323,99999)*1000+ROW())</f>
        <v/>
      </c>
      <c r="AF323" s="59" t="str">
        <f>IF(X323&lt;&gt;"",X323,L323)</f>
        <v/>
      </c>
      <c r="AG323" s="59" t="str">
        <f>IF(X323&lt;&gt;"",Y323,IF(L323&lt;&gt;"",M323,""))</f>
        <v/>
      </c>
      <c r="AH323" s="59" t="str">
        <f>IF(L323="","",IF(X323&lt;&gt;"",U323,F323))</f>
        <v/>
      </c>
      <c r="AI323" s="59" t="str">
        <f>IF(L323="","",IF(X323&lt;&gt;"",V323,H323))</f>
        <v/>
      </c>
    </row>
    <row r="324" ht="30" customHeight="1">
      <c r="A324" s="50" t="n"/>
      <c r="B324" s="51" t="n"/>
      <c r="C324" s="51" t="n"/>
      <c r="D324" s="51" t="n"/>
      <c r="E324" s="51" t="n"/>
      <c r="F324" s="52" t="n"/>
      <c r="G324" s="51" t="n"/>
      <c r="H324" s="52" t="n"/>
      <c r="I324" s="51" t="n"/>
      <c r="J324" s="51" t="n"/>
      <c r="K324" s="52" t="n"/>
      <c r="L324" s="53" t="str">
        <f>IF(AND(IF(ISNUMBER(F324),AND(F324&gt;=1,F324&lt;=10,F324=INT(F324)),FALSE),IF(ISNUMBER(H324),AND(H324&gt;=1,H324&lt;=10,H324=INT(H324)),FALSE),IF(ISNUMBER(K324),AND(K324&gt;=1,K324&lt;=10,K324=INT(K324)),FALSE)),F324*H324*K324,"")</f>
        <v/>
      </c>
      <c r="M324" s="54" t="str">
        <f>IF(L324="",IF(D324="","","À coter"),IF(OR(F324&gt;=p_gmin,L324&gt;=p_ipr_crit),"Critique",IF(L324&gt;=p_ipr_act,"Élevée",IF(L324&gt;=p_ipr_watch,"Moyenne","Faible"))))</f>
        <v/>
      </c>
      <c r="N324" s="54" t="str">
        <f>IF(OR(M324="",M324="À coter"),"",IF(OR(M324="Critique",M324="Élevée"),"Oui","Non"))</f>
        <v/>
      </c>
      <c r="O324" s="51" t="n"/>
      <c r="P324" s="51" t="n"/>
      <c r="Q324" s="55" t="n"/>
      <c r="R324" s="50" t="n"/>
      <c r="S324" s="55" t="n"/>
      <c r="T324" s="56" t="n"/>
      <c r="U324" s="52" t="n"/>
      <c r="V324" s="52" t="n"/>
      <c r="W324" s="52" t="n"/>
      <c r="X324" s="53" t="str">
        <f>IF(AND(L324&lt;&gt;"",IF(ISNUMBER(U324),AND(U324&gt;=1,U324&lt;=10,U324=INT(U324)),FALSE),IF(ISNUMBER(V324),AND(V324&gt;=1,V324&lt;=10,V324=INT(V324)),FALSE),IF(ISNUMBER(W324),AND(W324&gt;=1,W324&lt;=10,W324=INT(W324)),FALSE)),U324*V324*W324,"")</f>
        <v/>
      </c>
      <c r="Y324" s="54" t="str">
        <f>IF(X324="","",IF(OR(U324&gt;=p_gmin,X324&gt;=p_ipr_crit),"Critique",IF(X324&gt;=p_ipr_act,"Élevée",IF(X324&gt;=p_ipr_watch,"Moyenne","Faible"))))</f>
        <v/>
      </c>
      <c r="Z324" s="57" t="str">
        <f>IF(X324="","",(L324-X324)/L324)</f>
        <v/>
      </c>
      <c r="AA324" s="54" t="str">
        <f>IF(AND(D324="",O324=""),"",IF(O324="",IF(N324="Oui","Action à définir",IF(N324="Non","Sans action","")),IF(R324="Annulée","Annulée",IF(R324="Réalisée",IF(X324="","À réévaluer","Réalisée"),IF(N(Q324)=0,"Échéance manquante",IF(Q324&lt;p_today,"En retard",IF(Q324-p_today&lt;=p_alert,"Échéance proche","Dans les délais")))))))</f>
        <v/>
      </c>
      <c r="AB324" s="58" t="str">
        <f>IF(AND(A324="",B324="",D324="",F324="",H324="",K324="",O324=""),"",IF(D324="","Mode de défaillance manquant",IF(AND(A324&lt;&gt;"",COUNTIF(am_num,A324)&gt;1),"N° en double",IF(F324="","Gravité G manquante",IF(NOT(IF(ISNUMBER(F324),AND(F324&gt;=1,F324&lt;=10,F324=INT(F324)),FALSE)),"G : entier de 1 à 10",IF(H324="","Occurrence O manquante",IF(NOT(IF(ISNUMBER(H324),AND(H324&gt;=1,H324&lt;=10,H324=INT(H324)),FALSE)),"O : entier de 1 à 10",IF(K324="","Détection D manquante",IF(NOT(IF(ISNUMBER(K324),AND(K324&gt;=1,K324&lt;=10,K324=INT(K324)),FALSE)),"D : entier de 1 à 10",IF(G324="","Cause manquante",IF(AND(O324&lt;&gt;"",P324=""),"Responsable manquant",IF(AND(R324&lt;&gt;"",O324=""),"Statut sans action",IF(AND(R324="Réalisée",N(S324)=0),"Date de réalisation manquante",IF(AND(T324&lt;&gt;"",IF(ISNUMBER(T324),T324&lt;0,TRUE)),"Coût invalide",IF(AND(COUNTBLANK(U324:W324)&gt;0,COUNTBLANK(U324:W324)&lt;3),"Cotation après action incomplète",IF(AND(COUNTBLANK(U324:W324)=0,X324=""),"G', O', D' : entiers de 1 à 10",IF(AND(X324&lt;&gt;"",X324&gt;L324),"IPR après action plus élevé","OK")))))))))))))))))</f>
        <v/>
      </c>
      <c r="AC324" s="59" t="str">
        <f>IF(OR(AA324="En retard",AA324="Échéance proche",AA324="Dans les délais",AA324="Échéance manquante",AA324="Action à définir",AA324="À réévaluer"),IF(OR(plan_who="",P324=plan_who),IF(N(Q324)&gt;0,Q324,99999)*1000+ROW(),""),"")</f>
        <v/>
      </c>
      <c r="AD324" s="59" t="str">
        <f>IF(L324="","",L324*1000+1000-ROW())</f>
        <v/>
      </c>
      <c r="AE324" s="59" t="str">
        <f>IF(IF(AA324="En retard",1,IF(AA324="Action à définir",2,IF(AA324="Échéance manquante",3,IF(AA324="Échéance proche",4,IF(AA324="À réévaluer",5,0)))))=0,"",IF(AA324="En retard",1,IF(AA324="Action à définir",2,IF(AA324="Échéance manquante",3,IF(AA324="Échéance proche",4,IF(AA324="À réévaluer",5,0)))))*100000000+IF(N(Q324)&gt;0,Q324,99999)*1000+ROW())</f>
        <v/>
      </c>
      <c r="AF324" s="59" t="str">
        <f>IF(X324&lt;&gt;"",X324,L324)</f>
        <v/>
      </c>
      <c r="AG324" s="59" t="str">
        <f>IF(X324&lt;&gt;"",Y324,IF(L324&lt;&gt;"",M324,""))</f>
        <v/>
      </c>
      <c r="AH324" s="59" t="str">
        <f>IF(L324="","",IF(X324&lt;&gt;"",U324,F324))</f>
        <v/>
      </c>
      <c r="AI324" s="59" t="str">
        <f>IF(L324="","",IF(X324&lt;&gt;"",V324,H324))</f>
        <v/>
      </c>
    </row>
    <row r="325" ht="30" customHeight="1">
      <c r="A325" s="50" t="n"/>
      <c r="B325" s="51" t="n"/>
      <c r="C325" s="51" t="n"/>
      <c r="D325" s="51" t="n"/>
      <c r="E325" s="51" t="n"/>
      <c r="F325" s="52" t="n"/>
      <c r="G325" s="51" t="n"/>
      <c r="H325" s="52" t="n"/>
      <c r="I325" s="51" t="n"/>
      <c r="J325" s="51" t="n"/>
      <c r="K325" s="52" t="n"/>
      <c r="L325" s="53" t="str">
        <f>IF(AND(IF(ISNUMBER(F325),AND(F325&gt;=1,F325&lt;=10,F325=INT(F325)),FALSE),IF(ISNUMBER(H325),AND(H325&gt;=1,H325&lt;=10,H325=INT(H325)),FALSE),IF(ISNUMBER(K325),AND(K325&gt;=1,K325&lt;=10,K325=INT(K325)),FALSE)),F325*H325*K325,"")</f>
        <v/>
      </c>
      <c r="M325" s="54" t="str">
        <f>IF(L325="",IF(D325="","","À coter"),IF(OR(F325&gt;=p_gmin,L325&gt;=p_ipr_crit),"Critique",IF(L325&gt;=p_ipr_act,"Élevée",IF(L325&gt;=p_ipr_watch,"Moyenne","Faible"))))</f>
        <v/>
      </c>
      <c r="N325" s="54" t="str">
        <f>IF(OR(M325="",M325="À coter"),"",IF(OR(M325="Critique",M325="Élevée"),"Oui","Non"))</f>
        <v/>
      </c>
      <c r="O325" s="51" t="n"/>
      <c r="P325" s="51" t="n"/>
      <c r="Q325" s="55" t="n"/>
      <c r="R325" s="50" t="n"/>
      <c r="S325" s="55" t="n"/>
      <c r="T325" s="56" t="n"/>
      <c r="U325" s="52" t="n"/>
      <c r="V325" s="52" t="n"/>
      <c r="W325" s="52" t="n"/>
      <c r="X325" s="53" t="str">
        <f>IF(AND(L325&lt;&gt;"",IF(ISNUMBER(U325),AND(U325&gt;=1,U325&lt;=10,U325=INT(U325)),FALSE),IF(ISNUMBER(V325),AND(V325&gt;=1,V325&lt;=10,V325=INT(V325)),FALSE),IF(ISNUMBER(W325),AND(W325&gt;=1,W325&lt;=10,W325=INT(W325)),FALSE)),U325*V325*W325,"")</f>
        <v/>
      </c>
      <c r="Y325" s="54" t="str">
        <f>IF(X325="","",IF(OR(U325&gt;=p_gmin,X325&gt;=p_ipr_crit),"Critique",IF(X325&gt;=p_ipr_act,"Élevée",IF(X325&gt;=p_ipr_watch,"Moyenne","Faible"))))</f>
        <v/>
      </c>
      <c r="Z325" s="57" t="str">
        <f>IF(X325="","",(L325-X325)/L325)</f>
        <v/>
      </c>
      <c r="AA325" s="54" t="str">
        <f>IF(AND(D325="",O325=""),"",IF(O325="",IF(N325="Oui","Action à définir",IF(N325="Non","Sans action","")),IF(R325="Annulée","Annulée",IF(R325="Réalisée",IF(X325="","À réévaluer","Réalisée"),IF(N(Q325)=0,"Échéance manquante",IF(Q325&lt;p_today,"En retard",IF(Q325-p_today&lt;=p_alert,"Échéance proche","Dans les délais")))))))</f>
        <v/>
      </c>
      <c r="AB325" s="58" t="str">
        <f>IF(AND(A325="",B325="",D325="",F325="",H325="",K325="",O325=""),"",IF(D325="","Mode de défaillance manquant",IF(AND(A325&lt;&gt;"",COUNTIF(am_num,A325)&gt;1),"N° en double",IF(F325="","Gravité G manquante",IF(NOT(IF(ISNUMBER(F325),AND(F325&gt;=1,F325&lt;=10,F325=INT(F325)),FALSE)),"G : entier de 1 à 10",IF(H325="","Occurrence O manquante",IF(NOT(IF(ISNUMBER(H325),AND(H325&gt;=1,H325&lt;=10,H325=INT(H325)),FALSE)),"O : entier de 1 à 10",IF(K325="","Détection D manquante",IF(NOT(IF(ISNUMBER(K325),AND(K325&gt;=1,K325&lt;=10,K325=INT(K325)),FALSE)),"D : entier de 1 à 10",IF(G325="","Cause manquante",IF(AND(O325&lt;&gt;"",P325=""),"Responsable manquant",IF(AND(R325&lt;&gt;"",O325=""),"Statut sans action",IF(AND(R325="Réalisée",N(S325)=0),"Date de réalisation manquante",IF(AND(T325&lt;&gt;"",IF(ISNUMBER(T325),T325&lt;0,TRUE)),"Coût invalide",IF(AND(COUNTBLANK(U325:W325)&gt;0,COUNTBLANK(U325:W325)&lt;3),"Cotation après action incomplète",IF(AND(COUNTBLANK(U325:W325)=0,X325=""),"G', O', D' : entiers de 1 à 10",IF(AND(X325&lt;&gt;"",X325&gt;L325),"IPR après action plus élevé","OK")))))))))))))))))</f>
        <v/>
      </c>
      <c r="AC325" s="59" t="str">
        <f>IF(OR(AA325="En retard",AA325="Échéance proche",AA325="Dans les délais",AA325="Échéance manquante",AA325="Action à définir",AA325="À réévaluer"),IF(OR(plan_who="",P325=plan_who),IF(N(Q325)&gt;0,Q325,99999)*1000+ROW(),""),"")</f>
        <v/>
      </c>
      <c r="AD325" s="59" t="str">
        <f>IF(L325="","",L325*1000+1000-ROW())</f>
        <v/>
      </c>
      <c r="AE325" s="59" t="str">
        <f>IF(IF(AA325="En retard",1,IF(AA325="Action à définir",2,IF(AA325="Échéance manquante",3,IF(AA325="Échéance proche",4,IF(AA325="À réévaluer",5,0)))))=0,"",IF(AA325="En retard",1,IF(AA325="Action à définir",2,IF(AA325="Échéance manquante",3,IF(AA325="Échéance proche",4,IF(AA325="À réévaluer",5,0)))))*100000000+IF(N(Q325)&gt;0,Q325,99999)*1000+ROW())</f>
        <v/>
      </c>
      <c r="AF325" s="59" t="str">
        <f>IF(X325&lt;&gt;"",X325,L325)</f>
        <v/>
      </c>
      <c r="AG325" s="59" t="str">
        <f>IF(X325&lt;&gt;"",Y325,IF(L325&lt;&gt;"",M325,""))</f>
        <v/>
      </c>
      <c r="AH325" s="59" t="str">
        <f>IF(L325="","",IF(X325&lt;&gt;"",U325,F325))</f>
        <v/>
      </c>
      <c r="AI325" s="59" t="str">
        <f>IF(L325="","",IF(X325&lt;&gt;"",V325,H325))</f>
        <v/>
      </c>
    </row>
    <row r="326" ht="30" customHeight="1">
      <c r="A326" s="50" t="n"/>
      <c r="B326" s="51" t="n"/>
      <c r="C326" s="51" t="n"/>
      <c r="D326" s="51" t="n"/>
      <c r="E326" s="51" t="n"/>
      <c r="F326" s="52" t="n"/>
      <c r="G326" s="51" t="n"/>
      <c r="H326" s="52" t="n"/>
      <c r="I326" s="51" t="n"/>
      <c r="J326" s="51" t="n"/>
      <c r="K326" s="52" t="n"/>
      <c r="L326" s="53" t="str">
        <f>IF(AND(IF(ISNUMBER(F326),AND(F326&gt;=1,F326&lt;=10,F326=INT(F326)),FALSE),IF(ISNUMBER(H326),AND(H326&gt;=1,H326&lt;=10,H326=INT(H326)),FALSE),IF(ISNUMBER(K326),AND(K326&gt;=1,K326&lt;=10,K326=INT(K326)),FALSE)),F326*H326*K326,"")</f>
        <v/>
      </c>
      <c r="M326" s="54" t="str">
        <f>IF(L326="",IF(D326="","","À coter"),IF(OR(F326&gt;=p_gmin,L326&gt;=p_ipr_crit),"Critique",IF(L326&gt;=p_ipr_act,"Élevée",IF(L326&gt;=p_ipr_watch,"Moyenne","Faible"))))</f>
        <v/>
      </c>
      <c r="N326" s="54" t="str">
        <f>IF(OR(M326="",M326="À coter"),"",IF(OR(M326="Critique",M326="Élevée"),"Oui","Non"))</f>
        <v/>
      </c>
      <c r="O326" s="51" t="n"/>
      <c r="P326" s="51" t="n"/>
      <c r="Q326" s="55" t="n"/>
      <c r="R326" s="50" t="n"/>
      <c r="S326" s="55" t="n"/>
      <c r="T326" s="56" t="n"/>
      <c r="U326" s="52" t="n"/>
      <c r="V326" s="52" t="n"/>
      <c r="W326" s="52" t="n"/>
      <c r="X326" s="53" t="str">
        <f>IF(AND(L326&lt;&gt;"",IF(ISNUMBER(U326),AND(U326&gt;=1,U326&lt;=10,U326=INT(U326)),FALSE),IF(ISNUMBER(V326),AND(V326&gt;=1,V326&lt;=10,V326=INT(V326)),FALSE),IF(ISNUMBER(W326),AND(W326&gt;=1,W326&lt;=10,W326=INT(W326)),FALSE)),U326*V326*W326,"")</f>
        <v/>
      </c>
      <c r="Y326" s="54" t="str">
        <f>IF(X326="","",IF(OR(U326&gt;=p_gmin,X326&gt;=p_ipr_crit),"Critique",IF(X326&gt;=p_ipr_act,"Élevée",IF(X326&gt;=p_ipr_watch,"Moyenne","Faible"))))</f>
        <v/>
      </c>
      <c r="Z326" s="57" t="str">
        <f>IF(X326="","",(L326-X326)/L326)</f>
        <v/>
      </c>
      <c r="AA326" s="54" t="str">
        <f>IF(AND(D326="",O326=""),"",IF(O326="",IF(N326="Oui","Action à définir",IF(N326="Non","Sans action","")),IF(R326="Annulée","Annulée",IF(R326="Réalisée",IF(X326="","À réévaluer","Réalisée"),IF(N(Q326)=0,"Échéance manquante",IF(Q326&lt;p_today,"En retard",IF(Q326-p_today&lt;=p_alert,"Échéance proche","Dans les délais")))))))</f>
        <v/>
      </c>
      <c r="AB326" s="58" t="str">
        <f>IF(AND(A326="",B326="",D326="",F326="",H326="",K326="",O326=""),"",IF(D326="","Mode de défaillance manquant",IF(AND(A326&lt;&gt;"",COUNTIF(am_num,A326)&gt;1),"N° en double",IF(F326="","Gravité G manquante",IF(NOT(IF(ISNUMBER(F326),AND(F326&gt;=1,F326&lt;=10,F326=INT(F326)),FALSE)),"G : entier de 1 à 10",IF(H326="","Occurrence O manquante",IF(NOT(IF(ISNUMBER(H326),AND(H326&gt;=1,H326&lt;=10,H326=INT(H326)),FALSE)),"O : entier de 1 à 10",IF(K326="","Détection D manquante",IF(NOT(IF(ISNUMBER(K326),AND(K326&gt;=1,K326&lt;=10,K326=INT(K326)),FALSE)),"D : entier de 1 à 10",IF(G326="","Cause manquante",IF(AND(O326&lt;&gt;"",P326=""),"Responsable manquant",IF(AND(R326&lt;&gt;"",O326=""),"Statut sans action",IF(AND(R326="Réalisée",N(S326)=0),"Date de réalisation manquante",IF(AND(T326&lt;&gt;"",IF(ISNUMBER(T326),T326&lt;0,TRUE)),"Coût invalide",IF(AND(COUNTBLANK(U326:W326)&gt;0,COUNTBLANK(U326:W326)&lt;3),"Cotation après action incomplète",IF(AND(COUNTBLANK(U326:W326)=0,X326=""),"G', O', D' : entiers de 1 à 10",IF(AND(X326&lt;&gt;"",X326&gt;L326),"IPR après action plus élevé","OK")))))))))))))))))</f>
        <v/>
      </c>
      <c r="AC326" s="59" t="str">
        <f>IF(OR(AA326="En retard",AA326="Échéance proche",AA326="Dans les délais",AA326="Échéance manquante",AA326="Action à définir",AA326="À réévaluer"),IF(OR(plan_who="",P326=plan_who),IF(N(Q326)&gt;0,Q326,99999)*1000+ROW(),""),"")</f>
        <v/>
      </c>
      <c r="AD326" s="59" t="str">
        <f>IF(L326="","",L326*1000+1000-ROW())</f>
        <v/>
      </c>
      <c r="AE326" s="59" t="str">
        <f>IF(IF(AA326="En retard",1,IF(AA326="Action à définir",2,IF(AA326="Échéance manquante",3,IF(AA326="Échéance proche",4,IF(AA326="À réévaluer",5,0)))))=0,"",IF(AA326="En retard",1,IF(AA326="Action à définir",2,IF(AA326="Échéance manquante",3,IF(AA326="Échéance proche",4,IF(AA326="À réévaluer",5,0)))))*100000000+IF(N(Q326)&gt;0,Q326,99999)*1000+ROW())</f>
        <v/>
      </c>
      <c r="AF326" s="59" t="str">
        <f>IF(X326&lt;&gt;"",X326,L326)</f>
        <v/>
      </c>
      <c r="AG326" s="59" t="str">
        <f>IF(X326&lt;&gt;"",Y326,IF(L326&lt;&gt;"",M326,""))</f>
        <v/>
      </c>
      <c r="AH326" s="59" t="str">
        <f>IF(L326="","",IF(X326&lt;&gt;"",U326,F326))</f>
        <v/>
      </c>
      <c r="AI326" s="59" t="str">
        <f>IF(L326="","",IF(X326&lt;&gt;"",V326,H326))</f>
        <v/>
      </c>
    </row>
    <row r="327" ht="30" customHeight="1">
      <c r="A327" s="50" t="n"/>
      <c r="B327" s="51" t="n"/>
      <c r="C327" s="51" t="n"/>
      <c r="D327" s="51" t="n"/>
      <c r="E327" s="51" t="n"/>
      <c r="F327" s="52" t="n"/>
      <c r="G327" s="51" t="n"/>
      <c r="H327" s="52" t="n"/>
      <c r="I327" s="51" t="n"/>
      <c r="J327" s="51" t="n"/>
      <c r="K327" s="52" t="n"/>
      <c r="L327" s="53" t="str">
        <f>IF(AND(IF(ISNUMBER(F327),AND(F327&gt;=1,F327&lt;=10,F327=INT(F327)),FALSE),IF(ISNUMBER(H327),AND(H327&gt;=1,H327&lt;=10,H327=INT(H327)),FALSE),IF(ISNUMBER(K327),AND(K327&gt;=1,K327&lt;=10,K327=INT(K327)),FALSE)),F327*H327*K327,"")</f>
        <v/>
      </c>
      <c r="M327" s="54" t="str">
        <f>IF(L327="",IF(D327="","","À coter"),IF(OR(F327&gt;=p_gmin,L327&gt;=p_ipr_crit),"Critique",IF(L327&gt;=p_ipr_act,"Élevée",IF(L327&gt;=p_ipr_watch,"Moyenne","Faible"))))</f>
        <v/>
      </c>
      <c r="N327" s="54" t="str">
        <f>IF(OR(M327="",M327="À coter"),"",IF(OR(M327="Critique",M327="Élevée"),"Oui","Non"))</f>
        <v/>
      </c>
      <c r="O327" s="51" t="n"/>
      <c r="P327" s="51" t="n"/>
      <c r="Q327" s="55" t="n"/>
      <c r="R327" s="50" t="n"/>
      <c r="S327" s="55" t="n"/>
      <c r="T327" s="56" t="n"/>
      <c r="U327" s="52" t="n"/>
      <c r="V327" s="52" t="n"/>
      <c r="W327" s="52" t="n"/>
      <c r="X327" s="53" t="str">
        <f>IF(AND(L327&lt;&gt;"",IF(ISNUMBER(U327),AND(U327&gt;=1,U327&lt;=10,U327=INT(U327)),FALSE),IF(ISNUMBER(V327),AND(V327&gt;=1,V327&lt;=10,V327=INT(V327)),FALSE),IF(ISNUMBER(W327),AND(W327&gt;=1,W327&lt;=10,W327=INT(W327)),FALSE)),U327*V327*W327,"")</f>
        <v/>
      </c>
      <c r="Y327" s="54" t="str">
        <f>IF(X327="","",IF(OR(U327&gt;=p_gmin,X327&gt;=p_ipr_crit),"Critique",IF(X327&gt;=p_ipr_act,"Élevée",IF(X327&gt;=p_ipr_watch,"Moyenne","Faible"))))</f>
        <v/>
      </c>
      <c r="Z327" s="57" t="str">
        <f>IF(X327="","",(L327-X327)/L327)</f>
        <v/>
      </c>
      <c r="AA327" s="54" t="str">
        <f>IF(AND(D327="",O327=""),"",IF(O327="",IF(N327="Oui","Action à définir",IF(N327="Non","Sans action","")),IF(R327="Annulée","Annulée",IF(R327="Réalisée",IF(X327="","À réévaluer","Réalisée"),IF(N(Q327)=0,"Échéance manquante",IF(Q327&lt;p_today,"En retard",IF(Q327-p_today&lt;=p_alert,"Échéance proche","Dans les délais")))))))</f>
        <v/>
      </c>
      <c r="AB327" s="58" t="str">
        <f>IF(AND(A327="",B327="",D327="",F327="",H327="",K327="",O327=""),"",IF(D327="","Mode de défaillance manquant",IF(AND(A327&lt;&gt;"",COUNTIF(am_num,A327)&gt;1),"N° en double",IF(F327="","Gravité G manquante",IF(NOT(IF(ISNUMBER(F327),AND(F327&gt;=1,F327&lt;=10,F327=INT(F327)),FALSE)),"G : entier de 1 à 10",IF(H327="","Occurrence O manquante",IF(NOT(IF(ISNUMBER(H327),AND(H327&gt;=1,H327&lt;=10,H327=INT(H327)),FALSE)),"O : entier de 1 à 10",IF(K327="","Détection D manquante",IF(NOT(IF(ISNUMBER(K327),AND(K327&gt;=1,K327&lt;=10,K327=INT(K327)),FALSE)),"D : entier de 1 à 10",IF(G327="","Cause manquante",IF(AND(O327&lt;&gt;"",P327=""),"Responsable manquant",IF(AND(R327&lt;&gt;"",O327=""),"Statut sans action",IF(AND(R327="Réalisée",N(S327)=0),"Date de réalisation manquante",IF(AND(T327&lt;&gt;"",IF(ISNUMBER(T327),T327&lt;0,TRUE)),"Coût invalide",IF(AND(COUNTBLANK(U327:W327)&gt;0,COUNTBLANK(U327:W327)&lt;3),"Cotation après action incomplète",IF(AND(COUNTBLANK(U327:W327)=0,X327=""),"G', O', D' : entiers de 1 à 10",IF(AND(X327&lt;&gt;"",X327&gt;L327),"IPR après action plus élevé","OK")))))))))))))))))</f>
        <v/>
      </c>
      <c r="AC327" s="59" t="str">
        <f>IF(OR(AA327="En retard",AA327="Échéance proche",AA327="Dans les délais",AA327="Échéance manquante",AA327="Action à définir",AA327="À réévaluer"),IF(OR(plan_who="",P327=plan_who),IF(N(Q327)&gt;0,Q327,99999)*1000+ROW(),""),"")</f>
        <v/>
      </c>
      <c r="AD327" s="59" t="str">
        <f>IF(L327="","",L327*1000+1000-ROW())</f>
        <v/>
      </c>
      <c r="AE327" s="59" t="str">
        <f>IF(IF(AA327="En retard",1,IF(AA327="Action à définir",2,IF(AA327="Échéance manquante",3,IF(AA327="Échéance proche",4,IF(AA327="À réévaluer",5,0)))))=0,"",IF(AA327="En retard",1,IF(AA327="Action à définir",2,IF(AA327="Échéance manquante",3,IF(AA327="Échéance proche",4,IF(AA327="À réévaluer",5,0)))))*100000000+IF(N(Q327)&gt;0,Q327,99999)*1000+ROW())</f>
        <v/>
      </c>
      <c r="AF327" s="59" t="str">
        <f>IF(X327&lt;&gt;"",X327,L327)</f>
        <v/>
      </c>
      <c r="AG327" s="59" t="str">
        <f>IF(X327&lt;&gt;"",Y327,IF(L327&lt;&gt;"",M327,""))</f>
        <v/>
      </c>
      <c r="AH327" s="59" t="str">
        <f>IF(L327="","",IF(X327&lt;&gt;"",U327,F327))</f>
        <v/>
      </c>
      <c r="AI327" s="59" t="str">
        <f>IF(L327="","",IF(X327&lt;&gt;"",V327,H327))</f>
        <v/>
      </c>
    </row>
    <row r="328" ht="30" customHeight="1">
      <c r="A328" s="50" t="n"/>
      <c r="B328" s="51" t="n"/>
      <c r="C328" s="51" t="n"/>
      <c r="D328" s="51" t="n"/>
      <c r="E328" s="51" t="n"/>
      <c r="F328" s="52" t="n"/>
      <c r="G328" s="51" t="n"/>
      <c r="H328" s="52" t="n"/>
      <c r="I328" s="51" t="n"/>
      <c r="J328" s="51" t="n"/>
      <c r="K328" s="52" t="n"/>
      <c r="L328" s="53" t="str">
        <f>IF(AND(IF(ISNUMBER(F328),AND(F328&gt;=1,F328&lt;=10,F328=INT(F328)),FALSE),IF(ISNUMBER(H328),AND(H328&gt;=1,H328&lt;=10,H328=INT(H328)),FALSE),IF(ISNUMBER(K328),AND(K328&gt;=1,K328&lt;=10,K328=INT(K328)),FALSE)),F328*H328*K328,"")</f>
        <v/>
      </c>
      <c r="M328" s="54" t="str">
        <f>IF(L328="",IF(D328="","","À coter"),IF(OR(F328&gt;=p_gmin,L328&gt;=p_ipr_crit),"Critique",IF(L328&gt;=p_ipr_act,"Élevée",IF(L328&gt;=p_ipr_watch,"Moyenne","Faible"))))</f>
        <v/>
      </c>
      <c r="N328" s="54" t="str">
        <f>IF(OR(M328="",M328="À coter"),"",IF(OR(M328="Critique",M328="Élevée"),"Oui","Non"))</f>
        <v/>
      </c>
      <c r="O328" s="51" t="n"/>
      <c r="P328" s="51" t="n"/>
      <c r="Q328" s="55" t="n"/>
      <c r="R328" s="50" t="n"/>
      <c r="S328" s="55" t="n"/>
      <c r="T328" s="56" t="n"/>
      <c r="U328" s="52" t="n"/>
      <c r="V328" s="52" t="n"/>
      <c r="W328" s="52" t="n"/>
      <c r="X328" s="53" t="str">
        <f>IF(AND(L328&lt;&gt;"",IF(ISNUMBER(U328),AND(U328&gt;=1,U328&lt;=10,U328=INT(U328)),FALSE),IF(ISNUMBER(V328),AND(V328&gt;=1,V328&lt;=10,V328=INT(V328)),FALSE),IF(ISNUMBER(W328),AND(W328&gt;=1,W328&lt;=10,W328=INT(W328)),FALSE)),U328*V328*W328,"")</f>
        <v/>
      </c>
      <c r="Y328" s="54" t="str">
        <f>IF(X328="","",IF(OR(U328&gt;=p_gmin,X328&gt;=p_ipr_crit),"Critique",IF(X328&gt;=p_ipr_act,"Élevée",IF(X328&gt;=p_ipr_watch,"Moyenne","Faible"))))</f>
        <v/>
      </c>
      <c r="Z328" s="57" t="str">
        <f>IF(X328="","",(L328-X328)/L328)</f>
        <v/>
      </c>
      <c r="AA328" s="54" t="str">
        <f>IF(AND(D328="",O328=""),"",IF(O328="",IF(N328="Oui","Action à définir",IF(N328="Non","Sans action","")),IF(R328="Annulée","Annulée",IF(R328="Réalisée",IF(X328="","À réévaluer","Réalisée"),IF(N(Q328)=0,"Échéance manquante",IF(Q328&lt;p_today,"En retard",IF(Q328-p_today&lt;=p_alert,"Échéance proche","Dans les délais")))))))</f>
        <v/>
      </c>
      <c r="AB328" s="58" t="str">
        <f>IF(AND(A328="",B328="",D328="",F328="",H328="",K328="",O328=""),"",IF(D328="","Mode de défaillance manquant",IF(AND(A328&lt;&gt;"",COUNTIF(am_num,A328)&gt;1),"N° en double",IF(F328="","Gravité G manquante",IF(NOT(IF(ISNUMBER(F328),AND(F328&gt;=1,F328&lt;=10,F328=INT(F328)),FALSE)),"G : entier de 1 à 10",IF(H328="","Occurrence O manquante",IF(NOT(IF(ISNUMBER(H328),AND(H328&gt;=1,H328&lt;=10,H328=INT(H328)),FALSE)),"O : entier de 1 à 10",IF(K328="","Détection D manquante",IF(NOT(IF(ISNUMBER(K328),AND(K328&gt;=1,K328&lt;=10,K328=INT(K328)),FALSE)),"D : entier de 1 à 10",IF(G328="","Cause manquante",IF(AND(O328&lt;&gt;"",P328=""),"Responsable manquant",IF(AND(R328&lt;&gt;"",O328=""),"Statut sans action",IF(AND(R328="Réalisée",N(S328)=0),"Date de réalisation manquante",IF(AND(T328&lt;&gt;"",IF(ISNUMBER(T328),T328&lt;0,TRUE)),"Coût invalide",IF(AND(COUNTBLANK(U328:W328)&gt;0,COUNTBLANK(U328:W328)&lt;3),"Cotation après action incomplète",IF(AND(COUNTBLANK(U328:W328)=0,X328=""),"G', O', D' : entiers de 1 à 10",IF(AND(X328&lt;&gt;"",X328&gt;L328),"IPR après action plus élevé","OK")))))))))))))))))</f>
        <v/>
      </c>
      <c r="AC328" s="59" t="str">
        <f>IF(OR(AA328="En retard",AA328="Échéance proche",AA328="Dans les délais",AA328="Échéance manquante",AA328="Action à définir",AA328="À réévaluer"),IF(OR(plan_who="",P328=plan_who),IF(N(Q328)&gt;0,Q328,99999)*1000+ROW(),""),"")</f>
        <v/>
      </c>
      <c r="AD328" s="59" t="str">
        <f>IF(L328="","",L328*1000+1000-ROW())</f>
        <v/>
      </c>
      <c r="AE328" s="59" t="str">
        <f>IF(IF(AA328="En retard",1,IF(AA328="Action à définir",2,IF(AA328="Échéance manquante",3,IF(AA328="Échéance proche",4,IF(AA328="À réévaluer",5,0)))))=0,"",IF(AA328="En retard",1,IF(AA328="Action à définir",2,IF(AA328="Échéance manquante",3,IF(AA328="Échéance proche",4,IF(AA328="À réévaluer",5,0)))))*100000000+IF(N(Q328)&gt;0,Q328,99999)*1000+ROW())</f>
        <v/>
      </c>
      <c r="AF328" s="59" t="str">
        <f>IF(X328&lt;&gt;"",X328,L328)</f>
        <v/>
      </c>
      <c r="AG328" s="59" t="str">
        <f>IF(X328&lt;&gt;"",Y328,IF(L328&lt;&gt;"",M328,""))</f>
        <v/>
      </c>
      <c r="AH328" s="59" t="str">
        <f>IF(L328="","",IF(X328&lt;&gt;"",U328,F328))</f>
        <v/>
      </c>
      <c r="AI328" s="59" t="str">
        <f>IF(L328="","",IF(X328&lt;&gt;"",V328,H328))</f>
        <v/>
      </c>
    </row>
    <row r="329" ht="30" customHeight="1">
      <c r="A329" s="50" t="n"/>
      <c r="B329" s="51" t="n"/>
      <c r="C329" s="51" t="n"/>
      <c r="D329" s="51" t="n"/>
      <c r="E329" s="51" t="n"/>
      <c r="F329" s="52" t="n"/>
      <c r="G329" s="51" t="n"/>
      <c r="H329" s="52" t="n"/>
      <c r="I329" s="51" t="n"/>
      <c r="J329" s="51" t="n"/>
      <c r="K329" s="52" t="n"/>
      <c r="L329" s="53" t="str">
        <f>IF(AND(IF(ISNUMBER(F329),AND(F329&gt;=1,F329&lt;=10,F329=INT(F329)),FALSE),IF(ISNUMBER(H329),AND(H329&gt;=1,H329&lt;=10,H329=INT(H329)),FALSE),IF(ISNUMBER(K329),AND(K329&gt;=1,K329&lt;=10,K329=INT(K329)),FALSE)),F329*H329*K329,"")</f>
        <v/>
      </c>
      <c r="M329" s="54" t="str">
        <f>IF(L329="",IF(D329="","","À coter"),IF(OR(F329&gt;=p_gmin,L329&gt;=p_ipr_crit),"Critique",IF(L329&gt;=p_ipr_act,"Élevée",IF(L329&gt;=p_ipr_watch,"Moyenne","Faible"))))</f>
        <v/>
      </c>
      <c r="N329" s="54" t="str">
        <f>IF(OR(M329="",M329="À coter"),"",IF(OR(M329="Critique",M329="Élevée"),"Oui","Non"))</f>
        <v/>
      </c>
      <c r="O329" s="51" t="n"/>
      <c r="P329" s="51" t="n"/>
      <c r="Q329" s="55" t="n"/>
      <c r="R329" s="50" t="n"/>
      <c r="S329" s="55" t="n"/>
      <c r="T329" s="56" t="n"/>
      <c r="U329" s="52" t="n"/>
      <c r="V329" s="52" t="n"/>
      <c r="W329" s="52" t="n"/>
      <c r="X329" s="53" t="str">
        <f>IF(AND(L329&lt;&gt;"",IF(ISNUMBER(U329),AND(U329&gt;=1,U329&lt;=10,U329=INT(U329)),FALSE),IF(ISNUMBER(V329),AND(V329&gt;=1,V329&lt;=10,V329=INT(V329)),FALSE),IF(ISNUMBER(W329),AND(W329&gt;=1,W329&lt;=10,W329=INT(W329)),FALSE)),U329*V329*W329,"")</f>
        <v/>
      </c>
      <c r="Y329" s="54" t="str">
        <f>IF(X329="","",IF(OR(U329&gt;=p_gmin,X329&gt;=p_ipr_crit),"Critique",IF(X329&gt;=p_ipr_act,"Élevée",IF(X329&gt;=p_ipr_watch,"Moyenne","Faible"))))</f>
        <v/>
      </c>
      <c r="Z329" s="57" t="str">
        <f>IF(X329="","",(L329-X329)/L329)</f>
        <v/>
      </c>
      <c r="AA329" s="54" t="str">
        <f>IF(AND(D329="",O329=""),"",IF(O329="",IF(N329="Oui","Action à définir",IF(N329="Non","Sans action","")),IF(R329="Annulée","Annulée",IF(R329="Réalisée",IF(X329="","À réévaluer","Réalisée"),IF(N(Q329)=0,"Échéance manquante",IF(Q329&lt;p_today,"En retard",IF(Q329-p_today&lt;=p_alert,"Échéance proche","Dans les délais")))))))</f>
        <v/>
      </c>
      <c r="AB329" s="58" t="str">
        <f>IF(AND(A329="",B329="",D329="",F329="",H329="",K329="",O329=""),"",IF(D329="","Mode de défaillance manquant",IF(AND(A329&lt;&gt;"",COUNTIF(am_num,A329)&gt;1),"N° en double",IF(F329="","Gravité G manquante",IF(NOT(IF(ISNUMBER(F329),AND(F329&gt;=1,F329&lt;=10,F329=INT(F329)),FALSE)),"G : entier de 1 à 10",IF(H329="","Occurrence O manquante",IF(NOT(IF(ISNUMBER(H329),AND(H329&gt;=1,H329&lt;=10,H329=INT(H329)),FALSE)),"O : entier de 1 à 10",IF(K329="","Détection D manquante",IF(NOT(IF(ISNUMBER(K329),AND(K329&gt;=1,K329&lt;=10,K329=INT(K329)),FALSE)),"D : entier de 1 à 10",IF(G329="","Cause manquante",IF(AND(O329&lt;&gt;"",P329=""),"Responsable manquant",IF(AND(R329&lt;&gt;"",O329=""),"Statut sans action",IF(AND(R329="Réalisée",N(S329)=0),"Date de réalisation manquante",IF(AND(T329&lt;&gt;"",IF(ISNUMBER(T329),T329&lt;0,TRUE)),"Coût invalide",IF(AND(COUNTBLANK(U329:W329)&gt;0,COUNTBLANK(U329:W329)&lt;3),"Cotation après action incomplète",IF(AND(COUNTBLANK(U329:W329)=0,X329=""),"G', O', D' : entiers de 1 à 10",IF(AND(X329&lt;&gt;"",X329&gt;L329),"IPR après action plus élevé","OK")))))))))))))))))</f>
        <v/>
      </c>
      <c r="AC329" s="59" t="str">
        <f>IF(OR(AA329="En retard",AA329="Échéance proche",AA329="Dans les délais",AA329="Échéance manquante",AA329="Action à définir",AA329="À réévaluer"),IF(OR(plan_who="",P329=plan_who),IF(N(Q329)&gt;0,Q329,99999)*1000+ROW(),""),"")</f>
        <v/>
      </c>
      <c r="AD329" s="59" t="str">
        <f>IF(L329="","",L329*1000+1000-ROW())</f>
        <v/>
      </c>
      <c r="AE329" s="59" t="str">
        <f>IF(IF(AA329="En retard",1,IF(AA329="Action à définir",2,IF(AA329="Échéance manquante",3,IF(AA329="Échéance proche",4,IF(AA329="À réévaluer",5,0)))))=0,"",IF(AA329="En retard",1,IF(AA329="Action à définir",2,IF(AA329="Échéance manquante",3,IF(AA329="Échéance proche",4,IF(AA329="À réévaluer",5,0)))))*100000000+IF(N(Q329)&gt;0,Q329,99999)*1000+ROW())</f>
        <v/>
      </c>
      <c r="AF329" s="59" t="str">
        <f>IF(X329&lt;&gt;"",X329,L329)</f>
        <v/>
      </c>
      <c r="AG329" s="59" t="str">
        <f>IF(X329&lt;&gt;"",Y329,IF(L329&lt;&gt;"",M329,""))</f>
        <v/>
      </c>
      <c r="AH329" s="59" t="str">
        <f>IF(L329="","",IF(X329&lt;&gt;"",U329,F329))</f>
        <v/>
      </c>
      <c r="AI329" s="59" t="str">
        <f>IF(L329="","",IF(X329&lt;&gt;"",V329,H329))</f>
        <v/>
      </c>
    </row>
    <row r="330" ht="30" customHeight="1">
      <c r="A330" s="50" t="n"/>
      <c r="B330" s="51" t="n"/>
      <c r="C330" s="51" t="n"/>
      <c r="D330" s="51" t="n"/>
      <c r="E330" s="51" t="n"/>
      <c r="F330" s="52" t="n"/>
      <c r="G330" s="51" t="n"/>
      <c r="H330" s="52" t="n"/>
      <c r="I330" s="51" t="n"/>
      <c r="J330" s="51" t="n"/>
      <c r="K330" s="52" t="n"/>
      <c r="L330" s="53" t="str">
        <f>IF(AND(IF(ISNUMBER(F330),AND(F330&gt;=1,F330&lt;=10,F330=INT(F330)),FALSE),IF(ISNUMBER(H330),AND(H330&gt;=1,H330&lt;=10,H330=INT(H330)),FALSE),IF(ISNUMBER(K330),AND(K330&gt;=1,K330&lt;=10,K330=INT(K330)),FALSE)),F330*H330*K330,"")</f>
        <v/>
      </c>
      <c r="M330" s="54" t="str">
        <f>IF(L330="",IF(D330="","","À coter"),IF(OR(F330&gt;=p_gmin,L330&gt;=p_ipr_crit),"Critique",IF(L330&gt;=p_ipr_act,"Élevée",IF(L330&gt;=p_ipr_watch,"Moyenne","Faible"))))</f>
        <v/>
      </c>
      <c r="N330" s="54" t="str">
        <f>IF(OR(M330="",M330="À coter"),"",IF(OR(M330="Critique",M330="Élevée"),"Oui","Non"))</f>
        <v/>
      </c>
      <c r="O330" s="51" t="n"/>
      <c r="P330" s="51" t="n"/>
      <c r="Q330" s="55" t="n"/>
      <c r="R330" s="50" t="n"/>
      <c r="S330" s="55" t="n"/>
      <c r="T330" s="56" t="n"/>
      <c r="U330" s="52" t="n"/>
      <c r="V330" s="52" t="n"/>
      <c r="W330" s="52" t="n"/>
      <c r="X330" s="53" t="str">
        <f>IF(AND(L330&lt;&gt;"",IF(ISNUMBER(U330),AND(U330&gt;=1,U330&lt;=10,U330=INT(U330)),FALSE),IF(ISNUMBER(V330),AND(V330&gt;=1,V330&lt;=10,V330=INT(V330)),FALSE),IF(ISNUMBER(W330),AND(W330&gt;=1,W330&lt;=10,W330=INT(W330)),FALSE)),U330*V330*W330,"")</f>
        <v/>
      </c>
      <c r="Y330" s="54" t="str">
        <f>IF(X330="","",IF(OR(U330&gt;=p_gmin,X330&gt;=p_ipr_crit),"Critique",IF(X330&gt;=p_ipr_act,"Élevée",IF(X330&gt;=p_ipr_watch,"Moyenne","Faible"))))</f>
        <v/>
      </c>
      <c r="Z330" s="57" t="str">
        <f>IF(X330="","",(L330-X330)/L330)</f>
        <v/>
      </c>
      <c r="AA330" s="54" t="str">
        <f>IF(AND(D330="",O330=""),"",IF(O330="",IF(N330="Oui","Action à définir",IF(N330="Non","Sans action","")),IF(R330="Annulée","Annulée",IF(R330="Réalisée",IF(X330="","À réévaluer","Réalisée"),IF(N(Q330)=0,"Échéance manquante",IF(Q330&lt;p_today,"En retard",IF(Q330-p_today&lt;=p_alert,"Échéance proche","Dans les délais")))))))</f>
        <v/>
      </c>
      <c r="AB330" s="58" t="str">
        <f>IF(AND(A330="",B330="",D330="",F330="",H330="",K330="",O330=""),"",IF(D330="","Mode de défaillance manquant",IF(AND(A330&lt;&gt;"",COUNTIF(am_num,A330)&gt;1),"N° en double",IF(F330="","Gravité G manquante",IF(NOT(IF(ISNUMBER(F330),AND(F330&gt;=1,F330&lt;=10,F330=INT(F330)),FALSE)),"G : entier de 1 à 10",IF(H330="","Occurrence O manquante",IF(NOT(IF(ISNUMBER(H330),AND(H330&gt;=1,H330&lt;=10,H330=INT(H330)),FALSE)),"O : entier de 1 à 10",IF(K330="","Détection D manquante",IF(NOT(IF(ISNUMBER(K330),AND(K330&gt;=1,K330&lt;=10,K330=INT(K330)),FALSE)),"D : entier de 1 à 10",IF(G330="","Cause manquante",IF(AND(O330&lt;&gt;"",P330=""),"Responsable manquant",IF(AND(R330&lt;&gt;"",O330=""),"Statut sans action",IF(AND(R330="Réalisée",N(S330)=0),"Date de réalisation manquante",IF(AND(T330&lt;&gt;"",IF(ISNUMBER(T330),T330&lt;0,TRUE)),"Coût invalide",IF(AND(COUNTBLANK(U330:W330)&gt;0,COUNTBLANK(U330:W330)&lt;3),"Cotation après action incomplète",IF(AND(COUNTBLANK(U330:W330)=0,X330=""),"G', O', D' : entiers de 1 à 10",IF(AND(X330&lt;&gt;"",X330&gt;L330),"IPR après action plus élevé","OK")))))))))))))))))</f>
        <v/>
      </c>
      <c r="AC330" s="59" t="str">
        <f>IF(OR(AA330="En retard",AA330="Échéance proche",AA330="Dans les délais",AA330="Échéance manquante",AA330="Action à définir",AA330="À réévaluer"),IF(OR(plan_who="",P330=plan_who),IF(N(Q330)&gt;0,Q330,99999)*1000+ROW(),""),"")</f>
        <v/>
      </c>
      <c r="AD330" s="59" t="str">
        <f>IF(L330="","",L330*1000+1000-ROW())</f>
        <v/>
      </c>
      <c r="AE330" s="59" t="str">
        <f>IF(IF(AA330="En retard",1,IF(AA330="Action à définir",2,IF(AA330="Échéance manquante",3,IF(AA330="Échéance proche",4,IF(AA330="À réévaluer",5,0)))))=0,"",IF(AA330="En retard",1,IF(AA330="Action à définir",2,IF(AA330="Échéance manquante",3,IF(AA330="Échéance proche",4,IF(AA330="À réévaluer",5,0)))))*100000000+IF(N(Q330)&gt;0,Q330,99999)*1000+ROW())</f>
        <v/>
      </c>
      <c r="AF330" s="59" t="str">
        <f>IF(X330&lt;&gt;"",X330,L330)</f>
        <v/>
      </c>
      <c r="AG330" s="59" t="str">
        <f>IF(X330&lt;&gt;"",Y330,IF(L330&lt;&gt;"",M330,""))</f>
        <v/>
      </c>
      <c r="AH330" s="59" t="str">
        <f>IF(L330="","",IF(X330&lt;&gt;"",U330,F330))</f>
        <v/>
      </c>
      <c r="AI330" s="59" t="str">
        <f>IF(L330="","",IF(X330&lt;&gt;"",V330,H330))</f>
        <v/>
      </c>
    </row>
    <row r="331" ht="30" customHeight="1">
      <c r="A331" s="50" t="n"/>
      <c r="B331" s="51" t="n"/>
      <c r="C331" s="51" t="n"/>
      <c r="D331" s="51" t="n"/>
      <c r="E331" s="51" t="n"/>
      <c r="F331" s="52" t="n"/>
      <c r="G331" s="51" t="n"/>
      <c r="H331" s="52" t="n"/>
      <c r="I331" s="51" t="n"/>
      <c r="J331" s="51" t="n"/>
      <c r="K331" s="52" t="n"/>
      <c r="L331" s="53" t="str">
        <f>IF(AND(IF(ISNUMBER(F331),AND(F331&gt;=1,F331&lt;=10,F331=INT(F331)),FALSE),IF(ISNUMBER(H331),AND(H331&gt;=1,H331&lt;=10,H331=INT(H331)),FALSE),IF(ISNUMBER(K331),AND(K331&gt;=1,K331&lt;=10,K331=INT(K331)),FALSE)),F331*H331*K331,"")</f>
        <v/>
      </c>
      <c r="M331" s="54" t="str">
        <f>IF(L331="",IF(D331="","","À coter"),IF(OR(F331&gt;=p_gmin,L331&gt;=p_ipr_crit),"Critique",IF(L331&gt;=p_ipr_act,"Élevée",IF(L331&gt;=p_ipr_watch,"Moyenne","Faible"))))</f>
        <v/>
      </c>
      <c r="N331" s="54" t="str">
        <f>IF(OR(M331="",M331="À coter"),"",IF(OR(M331="Critique",M331="Élevée"),"Oui","Non"))</f>
        <v/>
      </c>
      <c r="O331" s="51" t="n"/>
      <c r="P331" s="51" t="n"/>
      <c r="Q331" s="55" t="n"/>
      <c r="R331" s="50" t="n"/>
      <c r="S331" s="55" t="n"/>
      <c r="T331" s="56" t="n"/>
      <c r="U331" s="52" t="n"/>
      <c r="V331" s="52" t="n"/>
      <c r="W331" s="52" t="n"/>
      <c r="X331" s="53" t="str">
        <f>IF(AND(L331&lt;&gt;"",IF(ISNUMBER(U331),AND(U331&gt;=1,U331&lt;=10,U331=INT(U331)),FALSE),IF(ISNUMBER(V331),AND(V331&gt;=1,V331&lt;=10,V331=INT(V331)),FALSE),IF(ISNUMBER(W331),AND(W331&gt;=1,W331&lt;=10,W331=INT(W331)),FALSE)),U331*V331*W331,"")</f>
        <v/>
      </c>
      <c r="Y331" s="54" t="str">
        <f>IF(X331="","",IF(OR(U331&gt;=p_gmin,X331&gt;=p_ipr_crit),"Critique",IF(X331&gt;=p_ipr_act,"Élevée",IF(X331&gt;=p_ipr_watch,"Moyenne","Faible"))))</f>
        <v/>
      </c>
      <c r="Z331" s="57" t="str">
        <f>IF(X331="","",(L331-X331)/L331)</f>
        <v/>
      </c>
      <c r="AA331" s="54" t="str">
        <f>IF(AND(D331="",O331=""),"",IF(O331="",IF(N331="Oui","Action à définir",IF(N331="Non","Sans action","")),IF(R331="Annulée","Annulée",IF(R331="Réalisée",IF(X331="","À réévaluer","Réalisée"),IF(N(Q331)=0,"Échéance manquante",IF(Q331&lt;p_today,"En retard",IF(Q331-p_today&lt;=p_alert,"Échéance proche","Dans les délais")))))))</f>
        <v/>
      </c>
      <c r="AB331" s="58" t="str">
        <f>IF(AND(A331="",B331="",D331="",F331="",H331="",K331="",O331=""),"",IF(D331="","Mode de défaillance manquant",IF(AND(A331&lt;&gt;"",COUNTIF(am_num,A331)&gt;1),"N° en double",IF(F331="","Gravité G manquante",IF(NOT(IF(ISNUMBER(F331),AND(F331&gt;=1,F331&lt;=10,F331=INT(F331)),FALSE)),"G : entier de 1 à 10",IF(H331="","Occurrence O manquante",IF(NOT(IF(ISNUMBER(H331),AND(H331&gt;=1,H331&lt;=10,H331=INT(H331)),FALSE)),"O : entier de 1 à 10",IF(K331="","Détection D manquante",IF(NOT(IF(ISNUMBER(K331),AND(K331&gt;=1,K331&lt;=10,K331=INT(K331)),FALSE)),"D : entier de 1 à 10",IF(G331="","Cause manquante",IF(AND(O331&lt;&gt;"",P331=""),"Responsable manquant",IF(AND(R331&lt;&gt;"",O331=""),"Statut sans action",IF(AND(R331="Réalisée",N(S331)=0),"Date de réalisation manquante",IF(AND(T331&lt;&gt;"",IF(ISNUMBER(T331),T331&lt;0,TRUE)),"Coût invalide",IF(AND(COUNTBLANK(U331:W331)&gt;0,COUNTBLANK(U331:W331)&lt;3),"Cotation après action incomplète",IF(AND(COUNTBLANK(U331:W331)=0,X331=""),"G', O', D' : entiers de 1 à 10",IF(AND(X331&lt;&gt;"",X331&gt;L331),"IPR après action plus élevé","OK")))))))))))))))))</f>
        <v/>
      </c>
      <c r="AC331" s="59" t="str">
        <f>IF(OR(AA331="En retard",AA331="Échéance proche",AA331="Dans les délais",AA331="Échéance manquante",AA331="Action à définir",AA331="À réévaluer"),IF(OR(plan_who="",P331=plan_who),IF(N(Q331)&gt;0,Q331,99999)*1000+ROW(),""),"")</f>
        <v/>
      </c>
      <c r="AD331" s="59" t="str">
        <f>IF(L331="","",L331*1000+1000-ROW())</f>
        <v/>
      </c>
      <c r="AE331" s="59" t="str">
        <f>IF(IF(AA331="En retard",1,IF(AA331="Action à définir",2,IF(AA331="Échéance manquante",3,IF(AA331="Échéance proche",4,IF(AA331="À réévaluer",5,0)))))=0,"",IF(AA331="En retard",1,IF(AA331="Action à définir",2,IF(AA331="Échéance manquante",3,IF(AA331="Échéance proche",4,IF(AA331="À réévaluer",5,0)))))*100000000+IF(N(Q331)&gt;0,Q331,99999)*1000+ROW())</f>
        <v/>
      </c>
      <c r="AF331" s="59" t="str">
        <f>IF(X331&lt;&gt;"",X331,L331)</f>
        <v/>
      </c>
      <c r="AG331" s="59" t="str">
        <f>IF(X331&lt;&gt;"",Y331,IF(L331&lt;&gt;"",M331,""))</f>
        <v/>
      </c>
      <c r="AH331" s="59" t="str">
        <f>IF(L331="","",IF(X331&lt;&gt;"",U331,F331))</f>
        <v/>
      </c>
      <c r="AI331" s="59" t="str">
        <f>IF(L331="","",IF(X331&lt;&gt;"",V331,H331))</f>
        <v/>
      </c>
    </row>
    <row r="332" ht="30" customHeight="1">
      <c r="A332" s="50" t="n"/>
      <c r="B332" s="51" t="n"/>
      <c r="C332" s="51" t="n"/>
      <c r="D332" s="51" t="n"/>
      <c r="E332" s="51" t="n"/>
      <c r="F332" s="52" t="n"/>
      <c r="G332" s="51" t="n"/>
      <c r="H332" s="52" t="n"/>
      <c r="I332" s="51" t="n"/>
      <c r="J332" s="51" t="n"/>
      <c r="K332" s="52" t="n"/>
      <c r="L332" s="53" t="str">
        <f>IF(AND(IF(ISNUMBER(F332),AND(F332&gt;=1,F332&lt;=10,F332=INT(F332)),FALSE),IF(ISNUMBER(H332),AND(H332&gt;=1,H332&lt;=10,H332=INT(H332)),FALSE),IF(ISNUMBER(K332),AND(K332&gt;=1,K332&lt;=10,K332=INT(K332)),FALSE)),F332*H332*K332,"")</f>
        <v/>
      </c>
      <c r="M332" s="54" t="str">
        <f>IF(L332="",IF(D332="","","À coter"),IF(OR(F332&gt;=p_gmin,L332&gt;=p_ipr_crit),"Critique",IF(L332&gt;=p_ipr_act,"Élevée",IF(L332&gt;=p_ipr_watch,"Moyenne","Faible"))))</f>
        <v/>
      </c>
      <c r="N332" s="54" t="str">
        <f>IF(OR(M332="",M332="À coter"),"",IF(OR(M332="Critique",M332="Élevée"),"Oui","Non"))</f>
        <v/>
      </c>
      <c r="O332" s="51" t="n"/>
      <c r="P332" s="51" t="n"/>
      <c r="Q332" s="55" t="n"/>
      <c r="R332" s="50" t="n"/>
      <c r="S332" s="55" t="n"/>
      <c r="T332" s="56" t="n"/>
      <c r="U332" s="52" t="n"/>
      <c r="V332" s="52" t="n"/>
      <c r="W332" s="52" t="n"/>
      <c r="X332" s="53" t="str">
        <f>IF(AND(L332&lt;&gt;"",IF(ISNUMBER(U332),AND(U332&gt;=1,U332&lt;=10,U332=INT(U332)),FALSE),IF(ISNUMBER(V332),AND(V332&gt;=1,V332&lt;=10,V332=INT(V332)),FALSE),IF(ISNUMBER(W332),AND(W332&gt;=1,W332&lt;=10,W332=INT(W332)),FALSE)),U332*V332*W332,"")</f>
        <v/>
      </c>
      <c r="Y332" s="54" t="str">
        <f>IF(X332="","",IF(OR(U332&gt;=p_gmin,X332&gt;=p_ipr_crit),"Critique",IF(X332&gt;=p_ipr_act,"Élevée",IF(X332&gt;=p_ipr_watch,"Moyenne","Faible"))))</f>
        <v/>
      </c>
      <c r="Z332" s="57" t="str">
        <f>IF(X332="","",(L332-X332)/L332)</f>
        <v/>
      </c>
      <c r="AA332" s="54" t="str">
        <f>IF(AND(D332="",O332=""),"",IF(O332="",IF(N332="Oui","Action à définir",IF(N332="Non","Sans action","")),IF(R332="Annulée","Annulée",IF(R332="Réalisée",IF(X332="","À réévaluer","Réalisée"),IF(N(Q332)=0,"Échéance manquante",IF(Q332&lt;p_today,"En retard",IF(Q332-p_today&lt;=p_alert,"Échéance proche","Dans les délais")))))))</f>
        <v/>
      </c>
      <c r="AB332" s="58" t="str">
        <f>IF(AND(A332="",B332="",D332="",F332="",H332="",K332="",O332=""),"",IF(D332="","Mode de défaillance manquant",IF(AND(A332&lt;&gt;"",COUNTIF(am_num,A332)&gt;1),"N° en double",IF(F332="","Gravité G manquante",IF(NOT(IF(ISNUMBER(F332),AND(F332&gt;=1,F332&lt;=10,F332=INT(F332)),FALSE)),"G : entier de 1 à 10",IF(H332="","Occurrence O manquante",IF(NOT(IF(ISNUMBER(H332),AND(H332&gt;=1,H332&lt;=10,H332=INT(H332)),FALSE)),"O : entier de 1 à 10",IF(K332="","Détection D manquante",IF(NOT(IF(ISNUMBER(K332),AND(K332&gt;=1,K332&lt;=10,K332=INT(K332)),FALSE)),"D : entier de 1 à 10",IF(G332="","Cause manquante",IF(AND(O332&lt;&gt;"",P332=""),"Responsable manquant",IF(AND(R332&lt;&gt;"",O332=""),"Statut sans action",IF(AND(R332="Réalisée",N(S332)=0),"Date de réalisation manquante",IF(AND(T332&lt;&gt;"",IF(ISNUMBER(T332),T332&lt;0,TRUE)),"Coût invalide",IF(AND(COUNTBLANK(U332:W332)&gt;0,COUNTBLANK(U332:W332)&lt;3),"Cotation après action incomplète",IF(AND(COUNTBLANK(U332:W332)=0,X332=""),"G', O', D' : entiers de 1 à 10",IF(AND(X332&lt;&gt;"",X332&gt;L332),"IPR après action plus élevé","OK")))))))))))))))))</f>
        <v/>
      </c>
      <c r="AC332" s="59" t="str">
        <f>IF(OR(AA332="En retard",AA332="Échéance proche",AA332="Dans les délais",AA332="Échéance manquante",AA332="Action à définir",AA332="À réévaluer"),IF(OR(plan_who="",P332=plan_who),IF(N(Q332)&gt;0,Q332,99999)*1000+ROW(),""),"")</f>
        <v/>
      </c>
      <c r="AD332" s="59" t="str">
        <f>IF(L332="","",L332*1000+1000-ROW())</f>
        <v/>
      </c>
      <c r="AE332" s="59" t="str">
        <f>IF(IF(AA332="En retard",1,IF(AA332="Action à définir",2,IF(AA332="Échéance manquante",3,IF(AA332="Échéance proche",4,IF(AA332="À réévaluer",5,0)))))=0,"",IF(AA332="En retard",1,IF(AA332="Action à définir",2,IF(AA332="Échéance manquante",3,IF(AA332="Échéance proche",4,IF(AA332="À réévaluer",5,0)))))*100000000+IF(N(Q332)&gt;0,Q332,99999)*1000+ROW())</f>
        <v/>
      </c>
      <c r="AF332" s="59" t="str">
        <f>IF(X332&lt;&gt;"",X332,L332)</f>
        <v/>
      </c>
      <c r="AG332" s="59" t="str">
        <f>IF(X332&lt;&gt;"",Y332,IF(L332&lt;&gt;"",M332,""))</f>
        <v/>
      </c>
      <c r="AH332" s="59" t="str">
        <f>IF(L332="","",IF(X332&lt;&gt;"",U332,F332))</f>
        <v/>
      </c>
      <c r="AI332" s="59" t="str">
        <f>IF(L332="","",IF(X332&lt;&gt;"",V332,H332))</f>
        <v/>
      </c>
    </row>
    <row r="333" ht="30" customHeight="1">
      <c r="A333" s="50" t="n"/>
      <c r="B333" s="51" t="n"/>
      <c r="C333" s="51" t="n"/>
      <c r="D333" s="51" t="n"/>
      <c r="E333" s="51" t="n"/>
      <c r="F333" s="52" t="n"/>
      <c r="G333" s="51" t="n"/>
      <c r="H333" s="52" t="n"/>
      <c r="I333" s="51" t="n"/>
      <c r="J333" s="51" t="n"/>
      <c r="K333" s="52" t="n"/>
      <c r="L333" s="53" t="str">
        <f>IF(AND(IF(ISNUMBER(F333),AND(F333&gt;=1,F333&lt;=10,F333=INT(F333)),FALSE),IF(ISNUMBER(H333),AND(H333&gt;=1,H333&lt;=10,H333=INT(H333)),FALSE),IF(ISNUMBER(K333),AND(K333&gt;=1,K333&lt;=10,K333=INT(K333)),FALSE)),F333*H333*K333,"")</f>
        <v/>
      </c>
      <c r="M333" s="54" t="str">
        <f>IF(L333="",IF(D333="","","À coter"),IF(OR(F333&gt;=p_gmin,L333&gt;=p_ipr_crit),"Critique",IF(L333&gt;=p_ipr_act,"Élevée",IF(L333&gt;=p_ipr_watch,"Moyenne","Faible"))))</f>
        <v/>
      </c>
      <c r="N333" s="54" t="str">
        <f>IF(OR(M333="",M333="À coter"),"",IF(OR(M333="Critique",M333="Élevée"),"Oui","Non"))</f>
        <v/>
      </c>
      <c r="O333" s="51" t="n"/>
      <c r="P333" s="51" t="n"/>
      <c r="Q333" s="55" t="n"/>
      <c r="R333" s="50" t="n"/>
      <c r="S333" s="55" t="n"/>
      <c r="T333" s="56" t="n"/>
      <c r="U333" s="52" t="n"/>
      <c r="V333" s="52" t="n"/>
      <c r="W333" s="52" t="n"/>
      <c r="X333" s="53" t="str">
        <f>IF(AND(L333&lt;&gt;"",IF(ISNUMBER(U333),AND(U333&gt;=1,U333&lt;=10,U333=INT(U333)),FALSE),IF(ISNUMBER(V333),AND(V333&gt;=1,V333&lt;=10,V333=INT(V333)),FALSE),IF(ISNUMBER(W333),AND(W333&gt;=1,W333&lt;=10,W333=INT(W333)),FALSE)),U333*V333*W333,"")</f>
        <v/>
      </c>
      <c r="Y333" s="54" t="str">
        <f>IF(X333="","",IF(OR(U333&gt;=p_gmin,X333&gt;=p_ipr_crit),"Critique",IF(X333&gt;=p_ipr_act,"Élevée",IF(X333&gt;=p_ipr_watch,"Moyenne","Faible"))))</f>
        <v/>
      </c>
      <c r="Z333" s="57" t="str">
        <f>IF(X333="","",(L333-X333)/L333)</f>
        <v/>
      </c>
      <c r="AA333" s="54" t="str">
        <f>IF(AND(D333="",O333=""),"",IF(O333="",IF(N333="Oui","Action à définir",IF(N333="Non","Sans action","")),IF(R333="Annulée","Annulée",IF(R333="Réalisée",IF(X333="","À réévaluer","Réalisée"),IF(N(Q333)=0,"Échéance manquante",IF(Q333&lt;p_today,"En retard",IF(Q333-p_today&lt;=p_alert,"Échéance proche","Dans les délais")))))))</f>
        <v/>
      </c>
      <c r="AB333" s="58" t="str">
        <f>IF(AND(A333="",B333="",D333="",F333="",H333="",K333="",O333=""),"",IF(D333="","Mode de défaillance manquant",IF(AND(A333&lt;&gt;"",COUNTIF(am_num,A333)&gt;1),"N° en double",IF(F333="","Gravité G manquante",IF(NOT(IF(ISNUMBER(F333),AND(F333&gt;=1,F333&lt;=10,F333=INT(F333)),FALSE)),"G : entier de 1 à 10",IF(H333="","Occurrence O manquante",IF(NOT(IF(ISNUMBER(H333),AND(H333&gt;=1,H333&lt;=10,H333=INT(H333)),FALSE)),"O : entier de 1 à 10",IF(K333="","Détection D manquante",IF(NOT(IF(ISNUMBER(K333),AND(K333&gt;=1,K333&lt;=10,K333=INT(K333)),FALSE)),"D : entier de 1 à 10",IF(G333="","Cause manquante",IF(AND(O333&lt;&gt;"",P333=""),"Responsable manquant",IF(AND(R333&lt;&gt;"",O333=""),"Statut sans action",IF(AND(R333="Réalisée",N(S333)=0),"Date de réalisation manquante",IF(AND(T333&lt;&gt;"",IF(ISNUMBER(T333),T333&lt;0,TRUE)),"Coût invalide",IF(AND(COUNTBLANK(U333:W333)&gt;0,COUNTBLANK(U333:W333)&lt;3),"Cotation après action incomplète",IF(AND(COUNTBLANK(U333:W333)=0,X333=""),"G', O', D' : entiers de 1 à 10",IF(AND(X333&lt;&gt;"",X333&gt;L333),"IPR après action plus élevé","OK")))))))))))))))))</f>
        <v/>
      </c>
      <c r="AC333" s="59" t="str">
        <f>IF(OR(AA333="En retard",AA333="Échéance proche",AA333="Dans les délais",AA333="Échéance manquante",AA333="Action à définir",AA333="À réévaluer"),IF(OR(plan_who="",P333=plan_who),IF(N(Q333)&gt;0,Q333,99999)*1000+ROW(),""),"")</f>
        <v/>
      </c>
      <c r="AD333" s="59" t="str">
        <f>IF(L333="","",L333*1000+1000-ROW())</f>
        <v/>
      </c>
      <c r="AE333" s="59" t="str">
        <f>IF(IF(AA333="En retard",1,IF(AA333="Action à définir",2,IF(AA333="Échéance manquante",3,IF(AA333="Échéance proche",4,IF(AA333="À réévaluer",5,0)))))=0,"",IF(AA333="En retard",1,IF(AA333="Action à définir",2,IF(AA333="Échéance manquante",3,IF(AA333="Échéance proche",4,IF(AA333="À réévaluer",5,0)))))*100000000+IF(N(Q333)&gt;0,Q333,99999)*1000+ROW())</f>
        <v/>
      </c>
      <c r="AF333" s="59" t="str">
        <f>IF(X333&lt;&gt;"",X333,L333)</f>
        <v/>
      </c>
      <c r="AG333" s="59" t="str">
        <f>IF(X333&lt;&gt;"",Y333,IF(L333&lt;&gt;"",M333,""))</f>
        <v/>
      </c>
      <c r="AH333" s="59" t="str">
        <f>IF(L333="","",IF(X333&lt;&gt;"",U333,F333))</f>
        <v/>
      </c>
      <c r="AI333" s="59" t="str">
        <f>IF(L333="","",IF(X333&lt;&gt;"",V333,H333))</f>
        <v/>
      </c>
    </row>
    <row r="334" ht="30" customHeight="1">
      <c r="A334" s="50" t="n"/>
      <c r="B334" s="51" t="n"/>
      <c r="C334" s="51" t="n"/>
      <c r="D334" s="51" t="n"/>
      <c r="E334" s="51" t="n"/>
      <c r="F334" s="52" t="n"/>
      <c r="G334" s="51" t="n"/>
      <c r="H334" s="52" t="n"/>
      <c r="I334" s="51" t="n"/>
      <c r="J334" s="51" t="n"/>
      <c r="K334" s="52" t="n"/>
      <c r="L334" s="53" t="str">
        <f>IF(AND(IF(ISNUMBER(F334),AND(F334&gt;=1,F334&lt;=10,F334=INT(F334)),FALSE),IF(ISNUMBER(H334),AND(H334&gt;=1,H334&lt;=10,H334=INT(H334)),FALSE),IF(ISNUMBER(K334),AND(K334&gt;=1,K334&lt;=10,K334=INT(K334)),FALSE)),F334*H334*K334,"")</f>
        <v/>
      </c>
      <c r="M334" s="54" t="str">
        <f>IF(L334="",IF(D334="","","À coter"),IF(OR(F334&gt;=p_gmin,L334&gt;=p_ipr_crit),"Critique",IF(L334&gt;=p_ipr_act,"Élevée",IF(L334&gt;=p_ipr_watch,"Moyenne","Faible"))))</f>
        <v/>
      </c>
      <c r="N334" s="54" t="str">
        <f>IF(OR(M334="",M334="À coter"),"",IF(OR(M334="Critique",M334="Élevée"),"Oui","Non"))</f>
        <v/>
      </c>
      <c r="O334" s="51" t="n"/>
      <c r="P334" s="51" t="n"/>
      <c r="Q334" s="55" t="n"/>
      <c r="R334" s="50" t="n"/>
      <c r="S334" s="55" t="n"/>
      <c r="T334" s="56" t="n"/>
      <c r="U334" s="52" t="n"/>
      <c r="V334" s="52" t="n"/>
      <c r="W334" s="52" t="n"/>
      <c r="X334" s="53" t="str">
        <f>IF(AND(L334&lt;&gt;"",IF(ISNUMBER(U334),AND(U334&gt;=1,U334&lt;=10,U334=INT(U334)),FALSE),IF(ISNUMBER(V334),AND(V334&gt;=1,V334&lt;=10,V334=INT(V334)),FALSE),IF(ISNUMBER(W334),AND(W334&gt;=1,W334&lt;=10,W334=INT(W334)),FALSE)),U334*V334*W334,"")</f>
        <v/>
      </c>
      <c r="Y334" s="54" t="str">
        <f>IF(X334="","",IF(OR(U334&gt;=p_gmin,X334&gt;=p_ipr_crit),"Critique",IF(X334&gt;=p_ipr_act,"Élevée",IF(X334&gt;=p_ipr_watch,"Moyenne","Faible"))))</f>
        <v/>
      </c>
      <c r="Z334" s="57" t="str">
        <f>IF(X334="","",(L334-X334)/L334)</f>
        <v/>
      </c>
      <c r="AA334" s="54" t="str">
        <f>IF(AND(D334="",O334=""),"",IF(O334="",IF(N334="Oui","Action à définir",IF(N334="Non","Sans action","")),IF(R334="Annulée","Annulée",IF(R334="Réalisée",IF(X334="","À réévaluer","Réalisée"),IF(N(Q334)=0,"Échéance manquante",IF(Q334&lt;p_today,"En retard",IF(Q334-p_today&lt;=p_alert,"Échéance proche","Dans les délais")))))))</f>
        <v/>
      </c>
      <c r="AB334" s="58" t="str">
        <f>IF(AND(A334="",B334="",D334="",F334="",H334="",K334="",O334=""),"",IF(D334="","Mode de défaillance manquant",IF(AND(A334&lt;&gt;"",COUNTIF(am_num,A334)&gt;1),"N° en double",IF(F334="","Gravité G manquante",IF(NOT(IF(ISNUMBER(F334),AND(F334&gt;=1,F334&lt;=10,F334=INT(F334)),FALSE)),"G : entier de 1 à 10",IF(H334="","Occurrence O manquante",IF(NOT(IF(ISNUMBER(H334),AND(H334&gt;=1,H334&lt;=10,H334=INT(H334)),FALSE)),"O : entier de 1 à 10",IF(K334="","Détection D manquante",IF(NOT(IF(ISNUMBER(K334),AND(K334&gt;=1,K334&lt;=10,K334=INT(K334)),FALSE)),"D : entier de 1 à 10",IF(G334="","Cause manquante",IF(AND(O334&lt;&gt;"",P334=""),"Responsable manquant",IF(AND(R334&lt;&gt;"",O334=""),"Statut sans action",IF(AND(R334="Réalisée",N(S334)=0),"Date de réalisation manquante",IF(AND(T334&lt;&gt;"",IF(ISNUMBER(T334),T334&lt;0,TRUE)),"Coût invalide",IF(AND(COUNTBLANK(U334:W334)&gt;0,COUNTBLANK(U334:W334)&lt;3),"Cotation après action incomplète",IF(AND(COUNTBLANK(U334:W334)=0,X334=""),"G', O', D' : entiers de 1 à 10",IF(AND(X334&lt;&gt;"",X334&gt;L334),"IPR après action plus élevé","OK")))))))))))))))))</f>
        <v/>
      </c>
      <c r="AC334" s="59" t="str">
        <f>IF(OR(AA334="En retard",AA334="Échéance proche",AA334="Dans les délais",AA334="Échéance manquante",AA334="Action à définir",AA334="À réévaluer"),IF(OR(plan_who="",P334=plan_who),IF(N(Q334)&gt;0,Q334,99999)*1000+ROW(),""),"")</f>
        <v/>
      </c>
      <c r="AD334" s="59" t="str">
        <f>IF(L334="","",L334*1000+1000-ROW())</f>
        <v/>
      </c>
      <c r="AE334" s="59" t="str">
        <f>IF(IF(AA334="En retard",1,IF(AA334="Action à définir",2,IF(AA334="Échéance manquante",3,IF(AA334="Échéance proche",4,IF(AA334="À réévaluer",5,0)))))=0,"",IF(AA334="En retard",1,IF(AA334="Action à définir",2,IF(AA334="Échéance manquante",3,IF(AA334="Échéance proche",4,IF(AA334="À réévaluer",5,0)))))*100000000+IF(N(Q334)&gt;0,Q334,99999)*1000+ROW())</f>
        <v/>
      </c>
      <c r="AF334" s="59" t="str">
        <f>IF(X334&lt;&gt;"",X334,L334)</f>
        <v/>
      </c>
      <c r="AG334" s="59" t="str">
        <f>IF(X334&lt;&gt;"",Y334,IF(L334&lt;&gt;"",M334,""))</f>
        <v/>
      </c>
      <c r="AH334" s="59" t="str">
        <f>IF(L334="","",IF(X334&lt;&gt;"",U334,F334))</f>
        <v/>
      </c>
      <c r="AI334" s="59" t="str">
        <f>IF(L334="","",IF(X334&lt;&gt;"",V334,H334))</f>
        <v/>
      </c>
    </row>
    <row r="335" ht="30" customHeight="1">
      <c r="A335" s="50" t="n"/>
      <c r="B335" s="51" t="n"/>
      <c r="C335" s="51" t="n"/>
      <c r="D335" s="51" t="n"/>
      <c r="E335" s="51" t="n"/>
      <c r="F335" s="52" t="n"/>
      <c r="G335" s="51" t="n"/>
      <c r="H335" s="52" t="n"/>
      <c r="I335" s="51" t="n"/>
      <c r="J335" s="51" t="n"/>
      <c r="K335" s="52" t="n"/>
      <c r="L335" s="53" t="str">
        <f>IF(AND(IF(ISNUMBER(F335),AND(F335&gt;=1,F335&lt;=10,F335=INT(F335)),FALSE),IF(ISNUMBER(H335),AND(H335&gt;=1,H335&lt;=10,H335=INT(H335)),FALSE),IF(ISNUMBER(K335),AND(K335&gt;=1,K335&lt;=10,K335=INT(K335)),FALSE)),F335*H335*K335,"")</f>
        <v/>
      </c>
      <c r="M335" s="54" t="str">
        <f>IF(L335="",IF(D335="","","À coter"),IF(OR(F335&gt;=p_gmin,L335&gt;=p_ipr_crit),"Critique",IF(L335&gt;=p_ipr_act,"Élevée",IF(L335&gt;=p_ipr_watch,"Moyenne","Faible"))))</f>
        <v/>
      </c>
      <c r="N335" s="54" t="str">
        <f>IF(OR(M335="",M335="À coter"),"",IF(OR(M335="Critique",M335="Élevée"),"Oui","Non"))</f>
        <v/>
      </c>
      <c r="O335" s="51" t="n"/>
      <c r="P335" s="51" t="n"/>
      <c r="Q335" s="55" t="n"/>
      <c r="R335" s="50" t="n"/>
      <c r="S335" s="55" t="n"/>
      <c r="T335" s="56" t="n"/>
      <c r="U335" s="52" t="n"/>
      <c r="V335" s="52" t="n"/>
      <c r="W335" s="52" t="n"/>
      <c r="X335" s="53" t="str">
        <f>IF(AND(L335&lt;&gt;"",IF(ISNUMBER(U335),AND(U335&gt;=1,U335&lt;=10,U335=INT(U335)),FALSE),IF(ISNUMBER(V335),AND(V335&gt;=1,V335&lt;=10,V335=INT(V335)),FALSE),IF(ISNUMBER(W335),AND(W335&gt;=1,W335&lt;=10,W335=INT(W335)),FALSE)),U335*V335*W335,"")</f>
        <v/>
      </c>
      <c r="Y335" s="54" t="str">
        <f>IF(X335="","",IF(OR(U335&gt;=p_gmin,X335&gt;=p_ipr_crit),"Critique",IF(X335&gt;=p_ipr_act,"Élevée",IF(X335&gt;=p_ipr_watch,"Moyenne","Faible"))))</f>
        <v/>
      </c>
      <c r="Z335" s="57" t="str">
        <f>IF(X335="","",(L335-X335)/L335)</f>
        <v/>
      </c>
      <c r="AA335" s="54" t="str">
        <f>IF(AND(D335="",O335=""),"",IF(O335="",IF(N335="Oui","Action à définir",IF(N335="Non","Sans action","")),IF(R335="Annulée","Annulée",IF(R335="Réalisée",IF(X335="","À réévaluer","Réalisée"),IF(N(Q335)=0,"Échéance manquante",IF(Q335&lt;p_today,"En retard",IF(Q335-p_today&lt;=p_alert,"Échéance proche","Dans les délais")))))))</f>
        <v/>
      </c>
      <c r="AB335" s="58" t="str">
        <f>IF(AND(A335="",B335="",D335="",F335="",H335="",K335="",O335=""),"",IF(D335="","Mode de défaillance manquant",IF(AND(A335&lt;&gt;"",COUNTIF(am_num,A335)&gt;1),"N° en double",IF(F335="","Gravité G manquante",IF(NOT(IF(ISNUMBER(F335),AND(F335&gt;=1,F335&lt;=10,F335=INT(F335)),FALSE)),"G : entier de 1 à 10",IF(H335="","Occurrence O manquante",IF(NOT(IF(ISNUMBER(H335),AND(H335&gt;=1,H335&lt;=10,H335=INT(H335)),FALSE)),"O : entier de 1 à 10",IF(K335="","Détection D manquante",IF(NOT(IF(ISNUMBER(K335),AND(K335&gt;=1,K335&lt;=10,K335=INT(K335)),FALSE)),"D : entier de 1 à 10",IF(G335="","Cause manquante",IF(AND(O335&lt;&gt;"",P335=""),"Responsable manquant",IF(AND(R335&lt;&gt;"",O335=""),"Statut sans action",IF(AND(R335="Réalisée",N(S335)=0),"Date de réalisation manquante",IF(AND(T335&lt;&gt;"",IF(ISNUMBER(T335),T335&lt;0,TRUE)),"Coût invalide",IF(AND(COUNTBLANK(U335:W335)&gt;0,COUNTBLANK(U335:W335)&lt;3),"Cotation après action incomplète",IF(AND(COUNTBLANK(U335:W335)=0,X335=""),"G', O', D' : entiers de 1 à 10",IF(AND(X335&lt;&gt;"",X335&gt;L335),"IPR après action plus élevé","OK")))))))))))))))))</f>
        <v/>
      </c>
      <c r="AC335" s="59" t="str">
        <f>IF(OR(AA335="En retard",AA335="Échéance proche",AA335="Dans les délais",AA335="Échéance manquante",AA335="Action à définir",AA335="À réévaluer"),IF(OR(plan_who="",P335=plan_who),IF(N(Q335)&gt;0,Q335,99999)*1000+ROW(),""),"")</f>
        <v/>
      </c>
      <c r="AD335" s="59" t="str">
        <f>IF(L335="","",L335*1000+1000-ROW())</f>
        <v/>
      </c>
      <c r="AE335" s="59" t="str">
        <f>IF(IF(AA335="En retard",1,IF(AA335="Action à définir",2,IF(AA335="Échéance manquante",3,IF(AA335="Échéance proche",4,IF(AA335="À réévaluer",5,0)))))=0,"",IF(AA335="En retard",1,IF(AA335="Action à définir",2,IF(AA335="Échéance manquante",3,IF(AA335="Échéance proche",4,IF(AA335="À réévaluer",5,0)))))*100000000+IF(N(Q335)&gt;0,Q335,99999)*1000+ROW())</f>
        <v/>
      </c>
      <c r="AF335" s="59" t="str">
        <f>IF(X335&lt;&gt;"",X335,L335)</f>
        <v/>
      </c>
      <c r="AG335" s="59" t="str">
        <f>IF(X335&lt;&gt;"",Y335,IF(L335&lt;&gt;"",M335,""))</f>
        <v/>
      </c>
      <c r="AH335" s="59" t="str">
        <f>IF(L335="","",IF(X335&lt;&gt;"",U335,F335))</f>
        <v/>
      </c>
      <c r="AI335" s="59" t="str">
        <f>IF(L335="","",IF(X335&lt;&gt;"",V335,H335))</f>
        <v/>
      </c>
    </row>
    <row r="336" ht="30" customHeight="1">
      <c r="A336" s="50" t="n"/>
      <c r="B336" s="51" t="n"/>
      <c r="C336" s="51" t="n"/>
      <c r="D336" s="51" t="n"/>
      <c r="E336" s="51" t="n"/>
      <c r="F336" s="52" t="n"/>
      <c r="G336" s="51" t="n"/>
      <c r="H336" s="52" t="n"/>
      <c r="I336" s="51" t="n"/>
      <c r="J336" s="51" t="n"/>
      <c r="K336" s="52" t="n"/>
      <c r="L336" s="53" t="str">
        <f>IF(AND(IF(ISNUMBER(F336),AND(F336&gt;=1,F336&lt;=10,F336=INT(F336)),FALSE),IF(ISNUMBER(H336),AND(H336&gt;=1,H336&lt;=10,H336=INT(H336)),FALSE),IF(ISNUMBER(K336),AND(K336&gt;=1,K336&lt;=10,K336=INT(K336)),FALSE)),F336*H336*K336,"")</f>
        <v/>
      </c>
      <c r="M336" s="54" t="str">
        <f>IF(L336="",IF(D336="","","À coter"),IF(OR(F336&gt;=p_gmin,L336&gt;=p_ipr_crit),"Critique",IF(L336&gt;=p_ipr_act,"Élevée",IF(L336&gt;=p_ipr_watch,"Moyenne","Faible"))))</f>
        <v/>
      </c>
      <c r="N336" s="54" t="str">
        <f>IF(OR(M336="",M336="À coter"),"",IF(OR(M336="Critique",M336="Élevée"),"Oui","Non"))</f>
        <v/>
      </c>
      <c r="O336" s="51" t="n"/>
      <c r="P336" s="51" t="n"/>
      <c r="Q336" s="55" t="n"/>
      <c r="R336" s="50" t="n"/>
      <c r="S336" s="55" t="n"/>
      <c r="T336" s="56" t="n"/>
      <c r="U336" s="52" t="n"/>
      <c r="V336" s="52" t="n"/>
      <c r="W336" s="52" t="n"/>
      <c r="X336" s="53" t="str">
        <f>IF(AND(L336&lt;&gt;"",IF(ISNUMBER(U336),AND(U336&gt;=1,U336&lt;=10,U336=INT(U336)),FALSE),IF(ISNUMBER(V336),AND(V336&gt;=1,V336&lt;=10,V336=INT(V336)),FALSE),IF(ISNUMBER(W336),AND(W336&gt;=1,W336&lt;=10,W336=INT(W336)),FALSE)),U336*V336*W336,"")</f>
        <v/>
      </c>
      <c r="Y336" s="54" t="str">
        <f>IF(X336="","",IF(OR(U336&gt;=p_gmin,X336&gt;=p_ipr_crit),"Critique",IF(X336&gt;=p_ipr_act,"Élevée",IF(X336&gt;=p_ipr_watch,"Moyenne","Faible"))))</f>
        <v/>
      </c>
      <c r="Z336" s="57" t="str">
        <f>IF(X336="","",(L336-X336)/L336)</f>
        <v/>
      </c>
      <c r="AA336" s="54" t="str">
        <f>IF(AND(D336="",O336=""),"",IF(O336="",IF(N336="Oui","Action à définir",IF(N336="Non","Sans action","")),IF(R336="Annulée","Annulée",IF(R336="Réalisée",IF(X336="","À réévaluer","Réalisée"),IF(N(Q336)=0,"Échéance manquante",IF(Q336&lt;p_today,"En retard",IF(Q336-p_today&lt;=p_alert,"Échéance proche","Dans les délais")))))))</f>
        <v/>
      </c>
      <c r="AB336" s="58" t="str">
        <f>IF(AND(A336="",B336="",D336="",F336="",H336="",K336="",O336=""),"",IF(D336="","Mode de défaillance manquant",IF(AND(A336&lt;&gt;"",COUNTIF(am_num,A336)&gt;1),"N° en double",IF(F336="","Gravité G manquante",IF(NOT(IF(ISNUMBER(F336),AND(F336&gt;=1,F336&lt;=10,F336=INT(F336)),FALSE)),"G : entier de 1 à 10",IF(H336="","Occurrence O manquante",IF(NOT(IF(ISNUMBER(H336),AND(H336&gt;=1,H336&lt;=10,H336=INT(H336)),FALSE)),"O : entier de 1 à 10",IF(K336="","Détection D manquante",IF(NOT(IF(ISNUMBER(K336),AND(K336&gt;=1,K336&lt;=10,K336=INT(K336)),FALSE)),"D : entier de 1 à 10",IF(G336="","Cause manquante",IF(AND(O336&lt;&gt;"",P336=""),"Responsable manquant",IF(AND(R336&lt;&gt;"",O336=""),"Statut sans action",IF(AND(R336="Réalisée",N(S336)=0),"Date de réalisation manquante",IF(AND(T336&lt;&gt;"",IF(ISNUMBER(T336),T336&lt;0,TRUE)),"Coût invalide",IF(AND(COUNTBLANK(U336:W336)&gt;0,COUNTBLANK(U336:W336)&lt;3),"Cotation après action incomplète",IF(AND(COUNTBLANK(U336:W336)=0,X336=""),"G', O', D' : entiers de 1 à 10",IF(AND(X336&lt;&gt;"",X336&gt;L336),"IPR après action plus élevé","OK")))))))))))))))))</f>
        <v/>
      </c>
      <c r="AC336" s="59" t="str">
        <f>IF(OR(AA336="En retard",AA336="Échéance proche",AA336="Dans les délais",AA336="Échéance manquante",AA336="Action à définir",AA336="À réévaluer"),IF(OR(plan_who="",P336=plan_who),IF(N(Q336)&gt;0,Q336,99999)*1000+ROW(),""),"")</f>
        <v/>
      </c>
      <c r="AD336" s="59" t="str">
        <f>IF(L336="","",L336*1000+1000-ROW())</f>
        <v/>
      </c>
      <c r="AE336" s="59" t="str">
        <f>IF(IF(AA336="En retard",1,IF(AA336="Action à définir",2,IF(AA336="Échéance manquante",3,IF(AA336="Échéance proche",4,IF(AA336="À réévaluer",5,0)))))=0,"",IF(AA336="En retard",1,IF(AA336="Action à définir",2,IF(AA336="Échéance manquante",3,IF(AA336="Échéance proche",4,IF(AA336="À réévaluer",5,0)))))*100000000+IF(N(Q336)&gt;0,Q336,99999)*1000+ROW())</f>
        <v/>
      </c>
      <c r="AF336" s="59" t="str">
        <f>IF(X336&lt;&gt;"",X336,L336)</f>
        <v/>
      </c>
      <c r="AG336" s="59" t="str">
        <f>IF(X336&lt;&gt;"",Y336,IF(L336&lt;&gt;"",M336,""))</f>
        <v/>
      </c>
      <c r="AH336" s="59" t="str">
        <f>IF(L336="","",IF(X336&lt;&gt;"",U336,F336))</f>
        <v/>
      </c>
      <c r="AI336" s="59" t="str">
        <f>IF(L336="","",IF(X336&lt;&gt;"",V336,H336))</f>
        <v/>
      </c>
    </row>
    <row r="337" ht="30" customHeight="1">
      <c r="A337" s="50" t="n"/>
      <c r="B337" s="51" t="n"/>
      <c r="C337" s="51" t="n"/>
      <c r="D337" s="51" t="n"/>
      <c r="E337" s="51" t="n"/>
      <c r="F337" s="52" t="n"/>
      <c r="G337" s="51" t="n"/>
      <c r="H337" s="52" t="n"/>
      <c r="I337" s="51" t="n"/>
      <c r="J337" s="51" t="n"/>
      <c r="K337" s="52" t="n"/>
      <c r="L337" s="53" t="str">
        <f>IF(AND(IF(ISNUMBER(F337),AND(F337&gt;=1,F337&lt;=10,F337=INT(F337)),FALSE),IF(ISNUMBER(H337),AND(H337&gt;=1,H337&lt;=10,H337=INT(H337)),FALSE),IF(ISNUMBER(K337),AND(K337&gt;=1,K337&lt;=10,K337=INT(K337)),FALSE)),F337*H337*K337,"")</f>
        <v/>
      </c>
      <c r="M337" s="54" t="str">
        <f>IF(L337="",IF(D337="","","À coter"),IF(OR(F337&gt;=p_gmin,L337&gt;=p_ipr_crit),"Critique",IF(L337&gt;=p_ipr_act,"Élevée",IF(L337&gt;=p_ipr_watch,"Moyenne","Faible"))))</f>
        <v/>
      </c>
      <c r="N337" s="54" t="str">
        <f>IF(OR(M337="",M337="À coter"),"",IF(OR(M337="Critique",M337="Élevée"),"Oui","Non"))</f>
        <v/>
      </c>
      <c r="O337" s="51" t="n"/>
      <c r="P337" s="51" t="n"/>
      <c r="Q337" s="55" t="n"/>
      <c r="R337" s="50" t="n"/>
      <c r="S337" s="55" t="n"/>
      <c r="T337" s="56" t="n"/>
      <c r="U337" s="52" t="n"/>
      <c r="V337" s="52" t="n"/>
      <c r="W337" s="52" t="n"/>
      <c r="X337" s="53" t="str">
        <f>IF(AND(L337&lt;&gt;"",IF(ISNUMBER(U337),AND(U337&gt;=1,U337&lt;=10,U337=INT(U337)),FALSE),IF(ISNUMBER(V337),AND(V337&gt;=1,V337&lt;=10,V337=INT(V337)),FALSE),IF(ISNUMBER(W337),AND(W337&gt;=1,W337&lt;=10,W337=INT(W337)),FALSE)),U337*V337*W337,"")</f>
        <v/>
      </c>
      <c r="Y337" s="54" t="str">
        <f>IF(X337="","",IF(OR(U337&gt;=p_gmin,X337&gt;=p_ipr_crit),"Critique",IF(X337&gt;=p_ipr_act,"Élevée",IF(X337&gt;=p_ipr_watch,"Moyenne","Faible"))))</f>
        <v/>
      </c>
      <c r="Z337" s="57" t="str">
        <f>IF(X337="","",(L337-X337)/L337)</f>
        <v/>
      </c>
      <c r="AA337" s="54" t="str">
        <f>IF(AND(D337="",O337=""),"",IF(O337="",IF(N337="Oui","Action à définir",IF(N337="Non","Sans action","")),IF(R337="Annulée","Annulée",IF(R337="Réalisée",IF(X337="","À réévaluer","Réalisée"),IF(N(Q337)=0,"Échéance manquante",IF(Q337&lt;p_today,"En retard",IF(Q337-p_today&lt;=p_alert,"Échéance proche","Dans les délais")))))))</f>
        <v/>
      </c>
      <c r="AB337" s="58" t="str">
        <f>IF(AND(A337="",B337="",D337="",F337="",H337="",K337="",O337=""),"",IF(D337="","Mode de défaillance manquant",IF(AND(A337&lt;&gt;"",COUNTIF(am_num,A337)&gt;1),"N° en double",IF(F337="","Gravité G manquante",IF(NOT(IF(ISNUMBER(F337),AND(F337&gt;=1,F337&lt;=10,F337=INT(F337)),FALSE)),"G : entier de 1 à 10",IF(H337="","Occurrence O manquante",IF(NOT(IF(ISNUMBER(H337),AND(H337&gt;=1,H337&lt;=10,H337=INT(H337)),FALSE)),"O : entier de 1 à 10",IF(K337="","Détection D manquante",IF(NOT(IF(ISNUMBER(K337),AND(K337&gt;=1,K337&lt;=10,K337=INT(K337)),FALSE)),"D : entier de 1 à 10",IF(G337="","Cause manquante",IF(AND(O337&lt;&gt;"",P337=""),"Responsable manquant",IF(AND(R337&lt;&gt;"",O337=""),"Statut sans action",IF(AND(R337="Réalisée",N(S337)=0),"Date de réalisation manquante",IF(AND(T337&lt;&gt;"",IF(ISNUMBER(T337),T337&lt;0,TRUE)),"Coût invalide",IF(AND(COUNTBLANK(U337:W337)&gt;0,COUNTBLANK(U337:W337)&lt;3),"Cotation après action incomplète",IF(AND(COUNTBLANK(U337:W337)=0,X337=""),"G', O', D' : entiers de 1 à 10",IF(AND(X337&lt;&gt;"",X337&gt;L337),"IPR après action plus élevé","OK")))))))))))))))))</f>
        <v/>
      </c>
      <c r="AC337" s="59" t="str">
        <f>IF(OR(AA337="En retard",AA337="Échéance proche",AA337="Dans les délais",AA337="Échéance manquante",AA337="Action à définir",AA337="À réévaluer"),IF(OR(plan_who="",P337=plan_who),IF(N(Q337)&gt;0,Q337,99999)*1000+ROW(),""),"")</f>
        <v/>
      </c>
      <c r="AD337" s="59" t="str">
        <f>IF(L337="","",L337*1000+1000-ROW())</f>
        <v/>
      </c>
      <c r="AE337" s="59" t="str">
        <f>IF(IF(AA337="En retard",1,IF(AA337="Action à définir",2,IF(AA337="Échéance manquante",3,IF(AA337="Échéance proche",4,IF(AA337="À réévaluer",5,0)))))=0,"",IF(AA337="En retard",1,IF(AA337="Action à définir",2,IF(AA337="Échéance manquante",3,IF(AA337="Échéance proche",4,IF(AA337="À réévaluer",5,0)))))*100000000+IF(N(Q337)&gt;0,Q337,99999)*1000+ROW())</f>
        <v/>
      </c>
      <c r="AF337" s="59" t="str">
        <f>IF(X337&lt;&gt;"",X337,L337)</f>
        <v/>
      </c>
      <c r="AG337" s="59" t="str">
        <f>IF(X337&lt;&gt;"",Y337,IF(L337&lt;&gt;"",M337,""))</f>
        <v/>
      </c>
      <c r="AH337" s="59" t="str">
        <f>IF(L337="","",IF(X337&lt;&gt;"",U337,F337))</f>
        <v/>
      </c>
      <c r="AI337" s="59" t="str">
        <f>IF(L337="","",IF(X337&lt;&gt;"",V337,H337))</f>
        <v/>
      </c>
    </row>
    <row r="338" ht="30" customHeight="1">
      <c r="A338" s="50" t="n"/>
      <c r="B338" s="51" t="n"/>
      <c r="C338" s="51" t="n"/>
      <c r="D338" s="51" t="n"/>
      <c r="E338" s="51" t="n"/>
      <c r="F338" s="52" t="n"/>
      <c r="G338" s="51" t="n"/>
      <c r="H338" s="52" t="n"/>
      <c r="I338" s="51" t="n"/>
      <c r="J338" s="51" t="n"/>
      <c r="K338" s="52" t="n"/>
      <c r="L338" s="53" t="str">
        <f>IF(AND(IF(ISNUMBER(F338),AND(F338&gt;=1,F338&lt;=10,F338=INT(F338)),FALSE),IF(ISNUMBER(H338),AND(H338&gt;=1,H338&lt;=10,H338=INT(H338)),FALSE),IF(ISNUMBER(K338),AND(K338&gt;=1,K338&lt;=10,K338=INT(K338)),FALSE)),F338*H338*K338,"")</f>
        <v/>
      </c>
      <c r="M338" s="54" t="str">
        <f>IF(L338="",IF(D338="","","À coter"),IF(OR(F338&gt;=p_gmin,L338&gt;=p_ipr_crit),"Critique",IF(L338&gt;=p_ipr_act,"Élevée",IF(L338&gt;=p_ipr_watch,"Moyenne","Faible"))))</f>
        <v/>
      </c>
      <c r="N338" s="54" t="str">
        <f>IF(OR(M338="",M338="À coter"),"",IF(OR(M338="Critique",M338="Élevée"),"Oui","Non"))</f>
        <v/>
      </c>
      <c r="O338" s="51" t="n"/>
      <c r="P338" s="51" t="n"/>
      <c r="Q338" s="55" t="n"/>
      <c r="R338" s="50" t="n"/>
      <c r="S338" s="55" t="n"/>
      <c r="T338" s="56" t="n"/>
      <c r="U338" s="52" t="n"/>
      <c r="V338" s="52" t="n"/>
      <c r="W338" s="52" t="n"/>
      <c r="X338" s="53" t="str">
        <f>IF(AND(L338&lt;&gt;"",IF(ISNUMBER(U338),AND(U338&gt;=1,U338&lt;=10,U338=INT(U338)),FALSE),IF(ISNUMBER(V338),AND(V338&gt;=1,V338&lt;=10,V338=INT(V338)),FALSE),IF(ISNUMBER(W338),AND(W338&gt;=1,W338&lt;=10,W338=INT(W338)),FALSE)),U338*V338*W338,"")</f>
        <v/>
      </c>
      <c r="Y338" s="54" t="str">
        <f>IF(X338="","",IF(OR(U338&gt;=p_gmin,X338&gt;=p_ipr_crit),"Critique",IF(X338&gt;=p_ipr_act,"Élevée",IF(X338&gt;=p_ipr_watch,"Moyenne","Faible"))))</f>
        <v/>
      </c>
      <c r="Z338" s="57" t="str">
        <f>IF(X338="","",(L338-X338)/L338)</f>
        <v/>
      </c>
      <c r="AA338" s="54" t="str">
        <f>IF(AND(D338="",O338=""),"",IF(O338="",IF(N338="Oui","Action à définir",IF(N338="Non","Sans action","")),IF(R338="Annulée","Annulée",IF(R338="Réalisée",IF(X338="","À réévaluer","Réalisée"),IF(N(Q338)=0,"Échéance manquante",IF(Q338&lt;p_today,"En retard",IF(Q338-p_today&lt;=p_alert,"Échéance proche","Dans les délais")))))))</f>
        <v/>
      </c>
      <c r="AB338" s="58" t="str">
        <f>IF(AND(A338="",B338="",D338="",F338="",H338="",K338="",O338=""),"",IF(D338="","Mode de défaillance manquant",IF(AND(A338&lt;&gt;"",COUNTIF(am_num,A338)&gt;1),"N° en double",IF(F338="","Gravité G manquante",IF(NOT(IF(ISNUMBER(F338),AND(F338&gt;=1,F338&lt;=10,F338=INT(F338)),FALSE)),"G : entier de 1 à 10",IF(H338="","Occurrence O manquante",IF(NOT(IF(ISNUMBER(H338),AND(H338&gt;=1,H338&lt;=10,H338=INT(H338)),FALSE)),"O : entier de 1 à 10",IF(K338="","Détection D manquante",IF(NOT(IF(ISNUMBER(K338),AND(K338&gt;=1,K338&lt;=10,K338=INT(K338)),FALSE)),"D : entier de 1 à 10",IF(G338="","Cause manquante",IF(AND(O338&lt;&gt;"",P338=""),"Responsable manquant",IF(AND(R338&lt;&gt;"",O338=""),"Statut sans action",IF(AND(R338="Réalisée",N(S338)=0),"Date de réalisation manquante",IF(AND(T338&lt;&gt;"",IF(ISNUMBER(T338),T338&lt;0,TRUE)),"Coût invalide",IF(AND(COUNTBLANK(U338:W338)&gt;0,COUNTBLANK(U338:W338)&lt;3),"Cotation après action incomplète",IF(AND(COUNTBLANK(U338:W338)=0,X338=""),"G', O', D' : entiers de 1 à 10",IF(AND(X338&lt;&gt;"",X338&gt;L338),"IPR après action plus élevé","OK")))))))))))))))))</f>
        <v/>
      </c>
      <c r="AC338" s="59" t="str">
        <f>IF(OR(AA338="En retard",AA338="Échéance proche",AA338="Dans les délais",AA338="Échéance manquante",AA338="Action à définir",AA338="À réévaluer"),IF(OR(plan_who="",P338=plan_who),IF(N(Q338)&gt;0,Q338,99999)*1000+ROW(),""),"")</f>
        <v/>
      </c>
      <c r="AD338" s="59" t="str">
        <f>IF(L338="","",L338*1000+1000-ROW())</f>
        <v/>
      </c>
      <c r="AE338" s="59" t="str">
        <f>IF(IF(AA338="En retard",1,IF(AA338="Action à définir",2,IF(AA338="Échéance manquante",3,IF(AA338="Échéance proche",4,IF(AA338="À réévaluer",5,0)))))=0,"",IF(AA338="En retard",1,IF(AA338="Action à définir",2,IF(AA338="Échéance manquante",3,IF(AA338="Échéance proche",4,IF(AA338="À réévaluer",5,0)))))*100000000+IF(N(Q338)&gt;0,Q338,99999)*1000+ROW())</f>
        <v/>
      </c>
      <c r="AF338" s="59" t="str">
        <f>IF(X338&lt;&gt;"",X338,L338)</f>
        <v/>
      </c>
      <c r="AG338" s="59" t="str">
        <f>IF(X338&lt;&gt;"",Y338,IF(L338&lt;&gt;"",M338,""))</f>
        <v/>
      </c>
      <c r="AH338" s="59" t="str">
        <f>IF(L338="","",IF(X338&lt;&gt;"",U338,F338))</f>
        <v/>
      </c>
      <c r="AI338" s="59" t="str">
        <f>IF(L338="","",IF(X338&lt;&gt;"",V338,H338))</f>
        <v/>
      </c>
    </row>
    <row r="339" ht="30" customHeight="1">
      <c r="A339" s="50" t="n"/>
      <c r="B339" s="51" t="n"/>
      <c r="C339" s="51" t="n"/>
      <c r="D339" s="51" t="n"/>
      <c r="E339" s="51" t="n"/>
      <c r="F339" s="52" t="n"/>
      <c r="G339" s="51" t="n"/>
      <c r="H339" s="52" t="n"/>
      <c r="I339" s="51" t="n"/>
      <c r="J339" s="51" t="n"/>
      <c r="K339" s="52" t="n"/>
      <c r="L339" s="53" t="str">
        <f>IF(AND(IF(ISNUMBER(F339),AND(F339&gt;=1,F339&lt;=10,F339=INT(F339)),FALSE),IF(ISNUMBER(H339),AND(H339&gt;=1,H339&lt;=10,H339=INT(H339)),FALSE),IF(ISNUMBER(K339),AND(K339&gt;=1,K339&lt;=10,K339=INT(K339)),FALSE)),F339*H339*K339,"")</f>
        <v/>
      </c>
      <c r="M339" s="54" t="str">
        <f>IF(L339="",IF(D339="","","À coter"),IF(OR(F339&gt;=p_gmin,L339&gt;=p_ipr_crit),"Critique",IF(L339&gt;=p_ipr_act,"Élevée",IF(L339&gt;=p_ipr_watch,"Moyenne","Faible"))))</f>
        <v/>
      </c>
      <c r="N339" s="54" t="str">
        <f>IF(OR(M339="",M339="À coter"),"",IF(OR(M339="Critique",M339="Élevée"),"Oui","Non"))</f>
        <v/>
      </c>
      <c r="O339" s="51" t="n"/>
      <c r="P339" s="51" t="n"/>
      <c r="Q339" s="55" t="n"/>
      <c r="R339" s="50" t="n"/>
      <c r="S339" s="55" t="n"/>
      <c r="T339" s="56" t="n"/>
      <c r="U339" s="52" t="n"/>
      <c r="V339" s="52" t="n"/>
      <c r="W339" s="52" t="n"/>
      <c r="X339" s="53" t="str">
        <f>IF(AND(L339&lt;&gt;"",IF(ISNUMBER(U339),AND(U339&gt;=1,U339&lt;=10,U339=INT(U339)),FALSE),IF(ISNUMBER(V339),AND(V339&gt;=1,V339&lt;=10,V339=INT(V339)),FALSE),IF(ISNUMBER(W339),AND(W339&gt;=1,W339&lt;=10,W339=INT(W339)),FALSE)),U339*V339*W339,"")</f>
        <v/>
      </c>
      <c r="Y339" s="54" t="str">
        <f>IF(X339="","",IF(OR(U339&gt;=p_gmin,X339&gt;=p_ipr_crit),"Critique",IF(X339&gt;=p_ipr_act,"Élevée",IF(X339&gt;=p_ipr_watch,"Moyenne","Faible"))))</f>
        <v/>
      </c>
      <c r="Z339" s="57" t="str">
        <f>IF(X339="","",(L339-X339)/L339)</f>
        <v/>
      </c>
      <c r="AA339" s="54" t="str">
        <f>IF(AND(D339="",O339=""),"",IF(O339="",IF(N339="Oui","Action à définir",IF(N339="Non","Sans action","")),IF(R339="Annulée","Annulée",IF(R339="Réalisée",IF(X339="","À réévaluer","Réalisée"),IF(N(Q339)=0,"Échéance manquante",IF(Q339&lt;p_today,"En retard",IF(Q339-p_today&lt;=p_alert,"Échéance proche","Dans les délais")))))))</f>
        <v/>
      </c>
      <c r="AB339" s="58" t="str">
        <f>IF(AND(A339="",B339="",D339="",F339="",H339="",K339="",O339=""),"",IF(D339="","Mode de défaillance manquant",IF(AND(A339&lt;&gt;"",COUNTIF(am_num,A339)&gt;1),"N° en double",IF(F339="","Gravité G manquante",IF(NOT(IF(ISNUMBER(F339),AND(F339&gt;=1,F339&lt;=10,F339=INT(F339)),FALSE)),"G : entier de 1 à 10",IF(H339="","Occurrence O manquante",IF(NOT(IF(ISNUMBER(H339),AND(H339&gt;=1,H339&lt;=10,H339=INT(H339)),FALSE)),"O : entier de 1 à 10",IF(K339="","Détection D manquante",IF(NOT(IF(ISNUMBER(K339),AND(K339&gt;=1,K339&lt;=10,K339=INT(K339)),FALSE)),"D : entier de 1 à 10",IF(G339="","Cause manquante",IF(AND(O339&lt;&gt;"",P339=""),"Responsable manquant",IF(AND(R339&lt;&gt;"",O339=""),"Statut sans action",IF(AND(R339="Réalisée",N(S339)=0),"Date de réalisation manquante",IF(AND(T339&lt;&gt;"",IF(ISNUMBER(T339),T339&lt;0,TRUE)),"Coût invalide",IF(AND(COUNTBLANK(U339:W339)&gt;0,COUNTBLANK(U339:W339)&lt;3),"Cotation après action incomplète",IF(AND(COUNTBLANK(U339:W339)=0,X339=""),"G', O', D' : entiers de 1 à 10",IF(AND(X339&lt;&gt;"",X339&gt;L339),"IPR après action plus élevé","OK")))))))))))))))))</f>
        <v/>
      </c>
      <c r="AC339" s="59" t="str">
        <f>IF(OR(AA339="En retard",AA339="Échéance proche",AA339="Dans les délais",AA339="Échéance manquante",AA339="Action à définir",AA339="À réévaluer"),IF(OR(plan_who="",P339=plan_who),IF(N(Q339)&gt;0,Q339,99999)*1000+ROW(),""),"")</f>
        <v/>
      </c>
      <c r="AD339" s="59" t="str">
        <f>IF(L339="","",L339*1000+1000-ROW())</f>
        <v/>
      </c>
      <c r="AE339" s="59" t="str">
        <f>IF(IF(AA339="En retard",1,IF(AA339="Action à définir",2,IF(AA339="Échéance manquante",3,IF(AA339="Échéance proche",4,IF(AA339="À réévaluer",5,0)))))=0,"",IF(AA339="En retard",1,IF(AA339="Action à définir",2,IF(AA339="Échéance manquante",3,IF(AA339="Échéance proche",4,IF(AA339="À réévaluer",5,0)))))*100000000+IF(N(Q339)&gt;0,Q339,99999)*1000+ROW())</f>
        <v/>
      </c>
      <c r="AF339" s="59" t="str">
        <f>IF(X339&lt;&gt;"",X339,L339)</f>
        <v/>
      </c>
      <c r="AG339" s="59" t="str">
        <f>IF(X339&lt;&gt;"",Y339,IF(L339&lt;&gt;"",M339,""))</f>
        <v/>
      </c>
      <c r="AH339" s="59" t="str">
        <f>IF(L339="","",IF(X339&lt;&gt;"",U339,F339))</f>
        <v/>
      </c>
      <c r="AI339" s="59" t="str">
        <f>IF(L339="","",IF(X339&lt;&gt;"",V339,H339))</f>
        <v/>
      </c>
    </row>
    <row r="340" ht="30" customHeight="1">
      <c r="A340" s="50" t="n"/>
      <c r="B340" s="51" t="n"/>
      <c r="C340" s="51" t="n"/>
      <c r="D340" s="51" t="n"/>
      <c r="E340" s="51" t="n"/>
      <c r="F340" s="52" t="n"/>
      <c r="G340" s="51" t="n"/>
      <c r="H340" s="52" t="n"/>
      <c r="I340" s="51" t="n"/>
      <c r="J340" s="51" t="n"/>
      <c r="K340" s="52" t="n"/>
      <c r="L340" s="53" t="str">
        <f>IF(AND(IF(ISNUMBER(F340),AND(F340&gt;=1,F340&lt;=10,F340=INT(F340)),FALSE),IF(ISNUMBER(H340),AND(H340&gt;=1,H340&lt;=10,H340=INT(H340)),FALSE),IF(ISNUMBER(K340),AND(K340&gt;=1,K340&lt;=10,K340=INT(K340)),FALSE)),F340*H340*K340,"")</f>
        <v/>
      </c>
      <c r="M340" s="54" t="str">
        <f>IF(L340="",IF(D340="","","À coter"),IF(OR(F340&gt;=p_gmin,L340&gt;=p_ipr_crit),"Critique",IF(L340&gt;=p_ipr_act,"Élevée",IF(L340&gt;=p_ipr_watch,"Moyenne","Faible"))))</f>
        <v/>
      </c>
      <c r="N340" s="54" t="str">
        <f>IF(OR(M340="",M340="À coter"),"",IF(OR(M340="Critique",M340="Élevée"),"Oui","Non"))</f>
        <v/>
      </c>
      <c r="O340" s="51" t="n"/>
      <c r="P340" s="51" t="n"/>
      <c r="Q340" s="55" t="n"/>
      <c r="R340" s="50" t="n"/>
      <c r="S340" s="55" t="n"/>
      <c r="T340" s="56" t="n"/>
      <c r="U340" s="52" t="n"/>
      <c r="V340" s="52" t="n"/>
      <c r="W340" s="52" t="n"/>
      <c r="X340" s="53" t="str">
        <f>IF(AND(L340&lt;&gt;"",IF(ISNUMBER(U340),AND(U340&gt;=1,U340&lt;=10,U340=INT(U340)),FALSE),IF(ISNUMBER(V340),AND(V340&gt;=1,V340&lt;=10,V340=INT(V340)),FALSE),IF(ISNUMBER(W340),AND(W340&gt;=1,W340&lt;=10,W340=INT(W340)),FALSE)),U340*V340*W340,"")</f>
        <v/>
      </c>
      <c r="Y340" s="54" t="str">
        <f>IF(X340="","",IF(OR(U340&gt;=p_gmin,X340&gt;=p_ipr_crit),"Critique",IF(X340&gt;=p_ipr_act,"Élevée",IF(X340&gt;=p_ipr_watch,"Moyenne","Faible"))))</f>
        <v/>
      </c>
      <c r="Z340" s="57" t="str">
        <f>IF(X340="","",(L340-X340)/L340)</f>
        <v/>
      </c>
      <c r="AA340" s="54" t="str">
        <f>IF(AND(D340="",O340=""),"",IF(O340="",IF(N340="Oui","Action à définir",IF(N340="Non","Sans action","")),IF(R340="Annulée","Annulée",IF(R340="Réalisée",IF(X340="","À réévaluer","Réalisée"),IF(N(Q340)=0,"Échéance manquante",IF(Q340&lt;p_today,"En retard",IF(Q340-p_today&lt;=p_alert,"Échéance proche","Dans les délais")))))))</f>
        <v/>
      </c>
      <c r="AB340" s="58" t="str">
        <f>IF(AND(A340="",B340="",D340="",F340="",H340="",K340="",O340=""),"",IF(D340="","Mode de défaillance manquant",IF(AND(A340&lt;&gt;"",COUNTIF(am_num,A340)&gt;1),"N° en double",IF(F340="","Gravité G manquante",IF(NOT(IF(ISNUMBER(F340),AND(F340&gt;=1,F340&lt;=10,F340=INT(F340)),FALSE)),"G : entier de 1 à 10",IF(H340="","Occurrence O manquante",IF(NOT(IF(ISNUMBER(H340),AND(H340&gt;=1,H340&lt;=10,H340=INT(H340)),FALSE)),"O : entier de 1 à 10",IF(K340="","Détection D manquante",IF(NOT(IF(ISNUMBER(K340),AND(K340&gt;=1,K340&lt;=10,K340=INT(K340)),FALSE)),"D : entier de 1 à 10",IF(G340="","Cause manquante",IF(AND(O340&lt;&gt;"",P340=""),"Responsable manquant",IF(AND(R340&lt;&gt;"",O340=""),"Statut sans action",IF(AND(R340="Réalisée",N(S340)=0),"Date de réalisation manquante",IF(AND(T340&lt;&gt;"",IF(ISNUMBER(T340),T340&lt;0,TRUE)),"Coût invalide",IF(AND(COUNTBLANK(U340:W340)&gt;0,COUNTBLANK(U340:W340)&lt;3),"Cotation après action incomplète",IF(AND(COUNTBLANK(U340:W340)=0,X340=""),"G', O', D' : entiers de 1 à 10",IF(AND(X340&lt;&gt;"",X340&gt;L340),"IPR après action plus élevé","OK")))))))))))))))))</f>
        <v/>
      </c>
      <c r="AC340" s="59" t="str">
        <f>IF(OR(AA340="En retard",AA340="Échéance proche",AA340="Dans les délais",AA340="Échéance manquante",AA340="Action à définir",AA340="À réévaluer"),IF(OR(plan_who="",P340=plan_who),IF(N(Q340)&gt;0,Q340,99999)*1000+ROW(),""),"")</f>
        <v/>
      </c>
      <c r="AD340" s="59" t="str">
        <f>IF(L340="","",L340*1000+1000-ROW())</f>
        <v/>
      </c>
      <c r="AE340" s="59" t="str">
        <f>IF(IF(AA340="En retard",1,IF(AA340="Action à définir",2,IF(AA340="Échéance manquante",3,IF(AA340="Échéance proche",4,IF(AA340="À réévaluer",5,0)))))=0,"",IF(AA340="En retard",1,IF(AA340="Action à définir",2,IF(AA340="Échéance manquante",3,IF(AA340="Échéance proche",4,IF(AA340="À réévaluer",5,0)))))*100000000+IF(N(Q340)&gt;0,Q340,99999)*1000+ROW())</f>
        <v/>
      </c>
      <c r="AF340" s="59" t="str">
        <f>IF(X340&lt;&gt;"",X340,L340)</f>
        <v/>
      </c>
      <c r="AG340" s="59" t="str">
        <f>IF(X340&lt;&gt;"",Y340,IF(L340&lt;&gt;"",M340,""))</f>
        <v/>
      </c>
      <c r="AH340" s="59" t="str">
        <f>IF(L340="","",IF(X340&lt;&gt;"",U340,F340))</f>
        <v/>
      </c>
      <c r="AI340" s="59" t="str">
        <f>IF(L340="","",IF(X340&lt;&gt;"",V340,H340))</f>
        <v/>
      </c>
    </row>
    <row r="341" ht="30" customHeight="1">
      <c r="A341" s="50" t="n"/>
      <c r="B341" s="51" t="n"/>
      <c r="C341" s="51" t="n"/>
      <c r="D341" s="51" t="n"/>
      <c r="E341" s="51" t="n"/>
      <c r="F341" s="52" t="n"/>
      <c r="G341" s="51" t="n"/>
      <c r="H341" s="52" t="n"/>
      <c r="I341" s="51" t="n"/>
      <c r="J341" s="51" t="n"/>
      <c r="K341" s="52" t="n"/>
      <c r="L341" s="53" t="str">
        <f>IF(AND(IF(ISNUMBER(F341),AND(F341&gt;=1,F341&lt;=10,F341=INT(F341)),FALSE),IF(ISNUMBER(H341),AND(H341&gt;=1,H341&lt;=10,H341=INT(H341)),FALSE),IF(ISNUMBER(K341),AND(K341&gt;=1,K341&lt;=10,K341=INT(K341)),FALSE)),F341*H341*K341,"")</f>
        <v/>
      </c>
      <c r="M341" s="54" t="str">
        <f>IF(L341="",IF(D341="","","À coter"),IF(OR(F341&gt;=p_gmin,L341&gt;=p_ipr_crit),"Critique",IF(L341&gt;=p_ipr_act,"Élevée",IF(L341&gt;=p_ipr_watch,"Moyenne","Faible"))))</f>
        <v/>
      </c>
      <c r="N341" s="54" t="str">
        <f>IF(OR(M341="",M341="À coter"),"",IF(OR(M341="Critique",M341="Élevée"),"Oui","Non"))</f>
        <v/>
      </c>
      <c r="O341" s="51" t="n"/>
      <c r="P341" s="51" t="n"/>
      <c r="Q341" s="55" t="n"/>
      <c r="R341" s="50" t="n"/>
      <c r="S341" s="55" t="n"/>
      <c r="T341" s="56" t="n"/>
      <c r="U341" s="52" t="n"/>
      <c r="V341" s="52" t="n"/>
      <c r="W341" s="52" t="n"/>
      <c r="X341" s="53" t="str">
        <f>IF(AND(L341&lt;&gt;"",IF(ISNUMBER(U341),AND(U341&gt;=1,U341&lt;=10,U341=INT(U341)),FALSE),IF(ISNUMBER(V341),AND(V341&gt;=1,V341&lt;=10,V341=INT(V341)),FALSE),IF(ISNUMBER(W341),AND(W341&gt;=1,W341&lt;=10,W341=INT(W341)),FALSE)),U341*V341*W341,"")</f>
        <v/>
      </c>
      <c r="Y341" s="54" t="str">
        <f>IF(X341="","",IF(OR(U341&gt;=p_gmin,X341&gt;=p_ipr_crit),"Critique",IF(X341&gt;=p_ipr_act,"Élevée",IF(X341&gt;=p_ipr_watch,"Moyenne","Faible"))))</f>
        <v/>
      </c>
      <c r="Z341" s="57" t="str">
        <f>IF(X341="","",(L341-X341)/L341)</f>
        <v/>
      </c>
      <c r="AA341" s="54" t="str">
        <f>IF(AND(D341="",O341=""),"",IF(O341="",IF(N341="Oui","Action à définir",IF(N341="Non","Sans action","")),IF(R341="Annulée","Annulée",IF(R341="Réalisée",IF(X341="","À réévaluer","Réalisée"),IF(N(Q341)=0,"Échéance manquante",IF(Q341&lt;p_today,"En retard",IF(Q341-p_today&lt;=p_alert,"Échéance proche","Dans les délais")))))))</f>
        <v/>
      </c>
      <c r="AB341" s="58" t="str">
        <f>IF(AND(A341="",B341="",D341="",F341="",H341="",K341="",O341=""),"",IF(D341="","Mode de défaillance manquant",IF(AND(A341&lt;&gt;"",COUNTIF(am_num,A341)&gt;1),"N° en double",IF(F341="","Gravité G manquante",IF(NOT(IF(ISNUMBER(F341),AND(F341&gt;=1,F341&lt;=10,F341=INT(F341)),FALSE)),"G : entier de 1 à 10",IF(H341="","Occurrence O manquante",IF(NOT(IF(ISNUMBER(H341),AND(H341&gt;=1,H341&lt;=10,H341=INT(H341)),FALSE)),"O : entier de 1 à 10",IF(K341="","Détection D manquante",IF(NOT(IF(ISNUMBER(K341),AND(K341&gt;=1,K341&lt;=10,K341=INT(K341)),FALSE)),"D : entier de 1 à 10",IF(G341="","Cause manquante",IF(AND(O341&lt;&gt;"",P341=""),"Responsable manquant",IF(AND(R341&lt;&gt;"",O341=""),"Statut sans action",IF(AND(R341="Réalisée",N(S341)=0),"Date de réalisation manquante",IF(AND(T341&lt;&gt;"",IF(ISNUMBER(T341),T341&lt;0,TRUE)),"Coût invalide",IF(AND(COUNTBLANK(U341:W341)&gt;0,COUNTBLANK(U341:W341)&lt;3),"Cotation après action incomplète",IF(AND(COUNTBLANK(U341:W341)=0,X341=""),"G', O', D' : entiers de 1 à 10",IF(AND(X341&lt;&gt;"",X341&gt;L341),"IPR après action plus élevé","OK")))))))))))))))))</f>
        <v/>
      </c>
      <c r="AC341" s="59" t="str">
        <f>IF(OR(AA341="En retard",AA341="Échéance proche",AA341="Dans les délais",AA341="Échéance manquante",AA341="Action à définir",AA341="À réévaluer"),IF(OR(plan_who="",P341=plan_who),IF(N(Q341)&gt;0,Q341,99999)*1000+ROW(),""),"")</f>
        <v/>
      </c>
      <c r="AD341" s="59" t="str">
        <f>IF(L341="","",L341*1000+1000-ROW())</f>
        <v/>
      </c>
      <c r="AE341" s="59" t="str">
        <f>IF(IF(AA341="En retard",1,IF(AA341="Action à définir",2,IF(AA341="Échéance manquante",3,IF(AA341="Échéance proche",4,IF(AA341="À réévaluer",5,0)))))=0,"",IF(AA341="En retard",1,IF(AA341="Action à définir",2,IF(AA341="Échéance manquante",3,IF(AA341="Échéance proche",4,IF(AA341="À réévaluer",5,0)))))*100000000+IF(N(Q341)&gt;0,Q341,99999)*1000+ROW())</f>
        <v/>
      </c>
      <c r="AF341" s="59" t="str">
        <f>IF(X341&lt;&gt;"",X341,L341)</f>
        <v/>
      </c>
      <c r="AG341" s="59" t="str">
        <f>IF(X341&lt;&gt;"",Y341,IF(L341&lt;&gt;"",M341,""))</f>
        <v/>
      </c>
      <c r="AH341" s="59" t="str">
        <f>IF(L341="","",IF(X341&lt;&gt;"",U341,F341))</f>
        <v/>
      </c>
      <c r="AI341" s="59" t="str">
        <f>IF(L341="","",IF(X341&lt;&gt;"",V341,H341))</f>
        <v/>
      </c>
    </row>
    <row r="342" ht="30" customHeight="1">
      <c r="A342" s="50" t="n"/>
      <c r="B342" s="51" t="n"/>
      <c r="C342" s="51" t="n"/>
      <c r="D342" s="51" t="n"/>
      <c r="E342" s="51" t="n"/>
      <c r="F342" s="52" t="n"/>
      <c r="G342" s="51" t="n"/>
      <c r="H342" s="52" t="n"/>
      <c r="I342" s="51" t="n"/>
      <c r="J342" s="51" t="n"/>
      <c r="K342" s="52" t="n"/>
      <c r="L342" s="53" t="str">
        <f>IF(AND(IF(ISNUMBER(F342),AND(F342&gt;=1,F342&lt;=10,F342=INT(F342)),FALSE),IF(ISNUMBER(H342),AND(H342&gt;=1,H342&lt;=10,H342=INT(H342)),FALSE),IF(ISNUMBER(K342),AND(K342&gt;=1,K342&lt;=10,K342=INT(K342)),FALSE)),F342*H342*K342,"")</f>
        <v/>
      </c>
      <c r="M342" s="54" t="str">
        <f>IF(L342="",IF(D342="","","À coter"),IF(OR(F342&gt;=p_gmin,L342&gt;=p_ipr_crit),"Critique",IF(L342&gt;=p_ipr_act,"Élevée",IF(L342&gt;=p_ipr_watch,"Moyenne","Faible"))))</f>
        <v/>
      </c>
      <c r="N342" s="54" t="str">
        <f>IF(OR(M342="",M342="À coter"),"",IF(OR(M342="Critique",M342="Élevée"),"Oui","Non"))</f>
        <v/>
      </c>
      <c r="O342" s="51" t="n"/>
      <c r="P342" s="51" t="n"/>
      <c r="Q342" s="55" t="n"/>
      <c r="R342" s="50" t="n"/>
      <c r="S342" s="55" t="n"/>
      <c r="T342" s="56" t="n"/>
      <c r="U342" s="52" t="n"/>
      <c r="V342" s="52" t="n"/>
      <c r="W342" s="52" t="n"/>
      <c r="X342" s="53" t="str">
        <f>IF(AND(L342&lt;&gt;"",IF(ISNUMBER(U342),AND(U342&gt;=1,U342&lt;=10,U342=INT(U342)),FALSE),IF(ISNUMBER(V342),AND(V342&gt;=1,V342&lt;=10,V342=INT(V342)),FALSE),IF(ISNUMBER(W342),AND(W342&gt;=1,W342&lt;=10,W342=INT(W342)),FALSE)),U342*V342*W342,"")</f>
        <v/>
      </c>
      <c r="Y342" s="54" t="str">
        <f>IF(X342="","",IF(OR(U342&gt;=p_gmin,X342&gt;=p_ipr_crit),"Critique",IF(X342&gt;=p_ipr_act,"Élevée",IF(X342&gt;=p_ipr_watch,"Moyenne","Faible"))))</f>
        <v/>
      </c>
      <c r="Z342" s="57" t="str">
        <f>IF(X342="","",(L342-X342)/L342)</f>
        <v/>
      </c>
      <c r="AA342" s="54" t="str">
        <f>IF(AND(D342="",O342=""),"",IF(O342="",IF(N342="Oui","Action à définir",IF(N342="Non","Sans action","")),IF(R342="Annulée","Annulée",IF(R342="Réalisée",IF(X342="","À réévaluer","Réalisée"),IF(N(Q342)=0,"Échéance manquante",IF(Q342&lt;p_today,"En retard",IF(Q342-p_today&lt;=p_alert,"Échéance proche","Dans les délais")))))))</f>
        <v/>
      </c>
      <c r="AB342" s="58" t="str">
        <f>IF(AND(A342="",B342="",D342="",F342="",H342="",K342="",O342=""),"",IF(D342="","Mode de défaillance manquant",IF(AND(A342&lt;&gt;"",COUNTIF(am_num,A342)&gt;1),"N° en double",IF(F342="","Gravité G manquante",IF(NOT(IF(ISNUMBER(F342),AND(F342&gt;=1,F342&lt;=10,F342=INT(F342)),FALSE)),"G : entier de 1 à 10",IF(H342="","Occurrence O manquante",IF(NOT(IF(ISNUMBER(H342),AND(H342&gt;=1,H342&lt;=10,H342=INT(H342)),FALSE)),"O : entier de 1 à 10",IF(K342="","Détection D manquante",IF(NOT(IF(ISNUMBER(K342),AND(K342&gt;=1,K342&lt;=10,K342=INT(K342)),FALSE)),"D : entier de 1 à 10",IF(G342="","Cause manquante",IF(AND(O342&lt;&gt;"",P342=""),"Responsable manquant",IF(AND(R342&lt;&gt;"",O342=""),"Statut sans action",IF(AND(R342="Réalisée",N(S342)=0),"Date de réalisation manquante",IF(AND(T342&lt;&gt;"",IF(ISNUMBER(T342),T342&lt;0,TRUE)),"Coût invalide",IF(AND(COUNTBLANK(U342:W342)&gt;0,COUNTBLANK(U342:W342)&lt;3),"Cotation après action incomplète",IF(AND(COUNTBLANK(U342:W342)=0,X342=""),"G', O', D' : entiers de 1 à 10",IF(AND(X342&lt;&gt;"",X342&gt;L342),"IPR après action plus élevé","OK")))))))))))))))))</f>
        <v/>
      </c>
      <c r="AC342" s="59" t="str">
        <f>IF(OR(AA342="En retard",AA342="Échéance proche",AA342="Dans les délais",AA342="Échéance manquante",AA342="Action à définir",AA342="À réévaluer"),IF(OR(plan_who="",P342=plan_who),IF(N(Q342)&gt;0,Q342,99999)*1000+ROW(),""),"")</f>
        <v/>
      </c>
      <c r="AD342" s="59" t="str">
        <f>IF(L342="","",L342*1000+1000-ROW())</f>
        <v/>
      </c>
      <c r="AE342" s="59" t="str">
        <f>IF(IF(AA342="En retard",1,IF(AA342="Action à définir",2,IF(AA342="Échéance manquante",3,IF(AA342="Échéance proche",4,IF(AA342="À réévaluer",5,0)))))=0,"",IF(AA342="En retard",1,IF(AA342="Action à définir",2,IF(AA342="Échéance manquante",3,IF(AA342="Échéance proche",4,IF(AA342="À réévaluer",5,0)))))*100000000+IF(N(Q342)&gt;0,Q342,99999)*1000+ROW())</f>
        <v/>
      </c>
      <c r="AF342" s="59" t="str">
        <f>IF(X342&lt;&gt;"",X342,L342)</f>
        <v/>
      </c>
      <c r="AG342" s="59" t="str">
        <f>IF(X342&lt;&gt;"",Y342,IF(L342&lt;&gt;"",M342,""))</f>
        <v/>
      </c>
      <c r="AH342" s="59" t="str">
        <f>IF(L342="","",IF(X342&lt;&gt;"",U342,F342))</f>
        <v/>
      </c>
      <c r="AI342" s="59" t="str">
        <f>IF(L342="","",IF(X342&lt;&gt;"",V342,H342))</f>
        <v/>
      </c>
    </row>
    <row r="343" ht="30" customHeight="1">
      <c r="A343" s="50" t="n"/>
      <c r="B343" s="51" t="n"/>
      <c r="C343" s="51" t="n"/>
      <c r="D343" s="51" t="n"/>
      <c r="E343" s="51" t="n"/>
      <c r="F343" s="52" t="n"/>
      <c r="G343" s="51" t="n"/>
      <c r="H343" s="52" t="n"/>
      <c r="I343" s="51" t="n"/>
      <c r="J343" s="51" t="n"/>
      <c r="K343" s="52" t="n"/>
      <c r="L343" s="53" t="str">
        <f>IF(AND(IF(ISNUMBER(F343),AND(F343&gt;=1,F343&lt;=10,F343=INT(F343)),FALSE),IF(ISNUMBER(H343),AND(H343&gt;=1,H343&lt;=10,H343=INT(H343)),FALSE),IF(ISNUMBER(K343),AND(K343&gt;=1,K343&lt;=10,K343=INT(K343)),FALSE)),F343*H343*K343,"")</f>
        <v/>
      </c>
      <c r="M343" s="54" t="str">
        <f>IF(L343="",IF(D343="","","À coter"),IF(OR(F343&gt;=p_gmin,L343&gt;=p_ipr_crit),"Critique",IF(L343&gt;=p_ipr_act,"Élevée",IF(L343&gt;=p_ipr_watch,"Moyenne","Faible"))))</f>
        <v/>
      </c>
      <c r="N343" s="54" t="str">
        <f>IF(OR(M343="",M343="À coter"),"",IF(OR(M343="Critique",M343="Élevée"),"Oui","Non"))</f>
        <v/>
      </c>
      <c r="O343" s="51" t="n"/>
      <c r="P343" s="51" t="n"/>
      <c r="Q343" s="55" t="n"/>
      <c r="R343" s="50" t="n"/>
      <c r="S343" s="55" t="n"/>
      <c r="T343" s="56" t="n"/>
      <c r="U343" s="52" t="n"/>
      <c r="V343" s="52" t="n"/>
      <c r="W343" s="52" t="n"/>
      <c r="X343" s="53" t="str">
        <f>IF(AND(L343&lt;&gt;"",IF(ISNUMBER(U343),AND(U343&gt;=1,U343&lt;=10,U343=INT(U343)),FALSE),IF(ISNUMBER(V343),AND(V343&gt;=1,V343&lt;=10,V343=INT(V343)),FALSE),IF(ISNUMBER(W343),AND(W343&gt;=1,W343&lt;=10,W343=INT(W343)),FALSE)),U343*V343*W343,"")</f>
        <v/>
      </c>
      <c r="Y343" s="54" t="str">
        <f>IF(X343="","",IF(OR(U343&gt;=p_gmin,X343&gt;=p_ipr_crit),"Critique",IF(X343&gt;=p_ipr_act,"Élevée",IF(X343&gt;=p_ipr_watch,"Moyenne","Faible"))))</f>
        <v/>
      </c>
      <c r="Z343" s="57" t="str">
        <f>IF(X343="","",(L343-X343)/L343)</f>
        <v/>
      </c>
      <c r="AA343" s="54" t="str">
        <f>IF(AND(D343="",O343=""),"",IF(O343="",IF(N343="Oui","Action à définir",IF(N343="Non","Sans action","")),IF(R343="Annulée","Annulée",IF(R343="Réalisée",IF(X343="","À réévaluer","Réalisée"),IF(N(Q343)=0,"Échéance manquante",IF(Q343&lt;p_today,"En retard",IF(Q343-p_today&lt;=p_alert,"Échéance proche","Dans les délais")))))))</f>
        <v/>
      </c>
      <c r="AB343" s="58" t="str">
        <f>IF(AND(A343="",B343="",D343="",F343="",H343="",K343="",O343=""),"",IF(D343="","Mode de défaillance manquant",IF(AND(A343&lt;&gt;"",COUNTIF(am_num,A343)&gt;1),"N° en double",IF(F343="","Gravité G manquante",IF(NOT(IF(ISNUMBER(F343),AND(F343&gt;=1,F343&lt;=10,F343=INT(F343)),FALSE)),"G : entier de 1 à 10",IF(H343="","Occurrence O manquante",IF(NOT(IF(ISNUMBER(H343),AND(H343&gt;=1,H343&lt;=10,H343=INT(H343)),FALSE)),"O : entier de 1 à 10",IF(K343="","Détection D manquante",IF(NOT(IF(ISNUMBER(K343),AND(K343&gt;=1,K343&lt;=10,K343=INT(K343)),FALSE)),"D : entier de 1 à 10",IF(G343="","Cause manquante",IF(AND(O343&lt;&gt;"",P343=""),"Responsable manquant",IF(AND(R343&lt;&gt;"",O343=""),"Statut sans action",IF(AND(R343="Réalisée",N(S343)=0),"Date de réalisation manquante",IF(AND(T343&lt;&gt;"",IF(ISNUMBER(T343),T343&lt;0,TRUE)),"Coût invalide",IF(AND(COUNTBLANK(U343:W343)&gt;0,COUNTBLANK(U343:W343)&lt;3),"Cotation après action incomplète",IF(AND(COUNTBLANK(U343:W343)=0,X343=""),"G', O', D' : entiers de 1 à 10",IF(AND(X343&lt;&gt;"",X343&gt;L343),"IPR après action plus élevé","OK")))))))))))))))))</f>
        <v/>
      </c>
      <c r="AC343" s="59" t="str">
        <f>IF(OR(AA343="En retard",AA343="Échéance proche",AA343="Dans les délais",AA343="Échéance manquante",AA343="Action à définir",AA343="À réévaluer"),IF(OR(plan_who="",P343=plan_who),IF(N(Q343)&gt;0,Q343,99999)*1000+ROW(),""),"")</f>
        <v/>
      </c>
      <c r="AD343" s="59" t="str">
        <f>IF(L343="","",L343*1000+1000-ROW())</f>
        <v/>
      </c>
      <c r="AE343" s="59" t="str">
        <f>IF(IF(AA343="En retard",1,IF(AA343="Action à définir",2,IF(AA343="Échéance manquante",3,IF(AA343="Échéance proche",4,IF(AA343="À réévaluer",5,0)))))=0,"",IF(AA343="En retard",1,IF(AA343="Action à définir",2,IF(AA343="Échéance manquante",3,IF(AA343="Échéance proche",4,IF(AA343="À réévaluer",5,0)))))*100000000+IF(N(Q343)&gt;0,Q343,99999)*1000+ROW())</f>
        <v/>
      </c>
      <c r="AF343" s="59" t="str">
        <f>IF(X343&lt;&gt;"",X343,L343)</f>
        <v/>
      </c>
      <c r="AG343" s="59" t="str">
        <f>IF(X343&lt;&gt;"",Y343,IF(L343&lt;&gt;"",M343,""))</f>
        <v/>
      </c>
      <c r="AH343" s="59" t="str">
        <f>IF(L343="","",IF(X343&lt;&gt;"",U343,F343))</f>
        <v/>
      </c>
      <c r="AI343" s="59" t="str">
        <f>IF(L343="","",IF(X343&lt;&gt;"",V343,H343))</f>
        <v/>
      </c>
    </row>
    <row r="344" ht="30" customHeight="1">
      <c r="A344" s="50" t="n"/>
      <c r="B344" s="51" t="n"/>
      <c r="C344" s="51" t="n"/>
      <c r="D344" s="51" t="n"/>
      <c r="E344" s="51" t="n"/>
      <c r="F344" s="52" t="n"/>
      <c r="G344" s="51" t="n"/>
      <c r="H344" s="52" t="n"/>
      <c r="I344" s="51" t="n"/>
      <c r="J344" s="51" t="n"/>
      <c r="K344" s="52" t="n"/>
      <c r="L344" s="53" t="str">
        <f>IF(AND(IF(ISNUMBER(F344),AND(F344&gt;=1,F344&lt;=10,F344=INT(F344)),FALSE),IF(ISNUMBER(H344),AND(H344&gt;=1,H344&lt;=10,H344=INT(H344)),FALSE),IF(ISNUMBER(K344),AND(K344&gt;=1,K344&lt;=10,K344=INT(K344)),FALSE)),F344*H344*K344,"")</f>
        <v/>
      </c>
      <c r="M344" s="54" t="str">
        <f>IF(L344="",IF(D344="","","À coter"),IF(OR(F344&gt;=p_gmin,L344&gt;=p_ipr_crit),"Critique",IF(L344&gt;=p_ipr_act,"Élevée",IF(L344&gt;=p_ipr_watch,"Moyenne","Faible"))))</f>
        <v/>
      </c>
      <c r="N344" s="54" t="str">
        <f>IF(OR(M344="",M344="À coter"),"",IF(OR(M344="Critique",M344="Élevée"),"Oui","Non"))</f>
        <v/>
      </c>
      <c r="O344" s="51" t="n"/>
      <c r="P344" s="51" t="n"/>
      <c r="Q344" s="55" t="n"/>
      <c r="R344" s="50" t="n"/>
      <c r="S344" s="55" t="n"/>
      <c r="T344" s="56" t="n"/>
      <c r="U344" s="52" t="n"/>
      <c r="V344" s="52" t="n"/>
      <c r="W344" s="52" t="n"/>
      <c r="X344" s="53" t="str">
        <f>IF(AND(L344&lt;&gt;"",IF(ISNUMBER(U344),AND(U344&gt;=1,U344&lt;=10,U344=INT(U344)),FALSE),IF(ISNUMBER(V344),AND(V344&gt;=1,V344&lt;=10,V344=INT(V344)),FALSE),IF(ISNUMBER(W344),AND(W344&gt;=1,W344&lt;=10,W344=INT(W344)),FALSE)),U344*V344*W344,"")</f>
        <v/>
      </c>
      <c r="Y344" s="54" t="str">
        <f>IF(X344="","",IF(OR(U344&gt;=p_gmin,X344&gt;=p_ipr_crit),"Critique",IF(X344&gt;=p_ipr_act,"Élevée",IF(X344&gt;=p_ipr_watch,"Moyenne","Faible"))))</f>
        <v/>
      </c>
      <c r="Z344" s="57" t="str">
        <f>IF(X344="","",(L344-X344)/L344)</f>
        <v/>
      </c>
      <c r="AA344" s="54" t="str">
        <f>IF(AND(D344="",O344=""),"",IF(O344="",IF(N344="Oui","Action à définir",IF(N344="Non","Sans action","")),IF(R344="Annulée","Annulée",IF(R344="Réalisée",IF(X344="","À réévaluer","Réalisée"),IF(N(Q344)=0,"Échéance manquante",IF(Q344&lt;p_today,"En retard",IF(Q344-p_today&lt;=p_alert,"Échéance proche","Dans les délais")))))))</f>
        <v/>
      </c>
      <c r="AB344" s="58" t="str">
        <f>IF(AND(A344="",B344="",D344="",F344="",H344="",K344="",O344=""),"",IF(D344="","Mode de défaillance manquant",IF(AND(A344&lt;&gt;"",COUNTIF(am_num,A344)&gt;1),"N° en double",IF(F344="","Gravité G manquante",IF(NOT(IF(ISNUMBER(F344),AND(F344&gt;=1,F344&lt;=10,F344=INT(F344)),FALSE)),"G : entier de 1 à 10",IF(H344="","Occurrence O manquante",IF(NOT(IF(ISNUMBER(H344),AND(H344&gt;=1,H344&lt;=10,H344=INT(H344)),FALSE)),"O : entier de 1 à 10",IF(K344="","Détection D manquante",IF(NOT(IF(ISNUMBER(K344),AND(K344&gt;=1,K344&lt;=10,K344=INT(K344)),FALSE)),"D : entier de 1 à 10",IF(G344="","Cause manquante",IF(AND(O344&lt;&gt;"",P344=""),"Responsable manquant",IF(AND(R344&lt;&gt;"",O344=""),"Statut sans action",IF(AND(R344="Réalisée",N(S344)=0),"Date de réalisation manquante",IF(AND(T344&lt;&gt;"",IF(ISNUMBER(T344),T344&lt;0,TRUE)),"Coût invalide",IF(AND(COUNTBLANK(U344:W344)&gt;0,COUNTBLANK(U344:W344)&lt;3),"Cotation après action incomplète",IF(AND(COUNTBLANK(U344:W344)=0,X344=""),"G', O', D' : entiers de 1 à 10",IF(AND(X344&lt;&gt;"",X344&gt;L344),"IPR après action plus élevé","OK")))))))))))))))))</f>
        <v/>
      </c>
      <c r="AC344" s="59" t="str">
        <f>IF(OR(AA344="En retard",AA344="Échéance proche",AA344="Dans les délais",AA344="Échéance manquante",AA344="Action à définir",AA344="À réévaluer"),IF(OR(plan_who="",P344=plan_who),IF(N(Q344)&gt;0,Q344,99999)*1000+ROW(),""),"")</f>
        <v/>
      </c>
      <c r="AD344" s="59" t="str">
        <f>IF(L344="","",L344*1000+1000-ROW())</f>
        <v/>
      </c>
      <c r="AE344" s="59" t="str">
        <f>IF(IF(AA344="En retard",1,IF(AA344="Action à définir",2,IF(AA344="Échéance manquante",3,IF(AA344="Échéance proche",4,IF(AA344="À réévaluer",5,0)))))=0,"",IF(AA344="En retard",1,IF(AA344="Action à définir",2,IF(AA344="Échéance manquante",3,IF(AA344="Échéance proche",4,IF(AA344="À réévaluer",5,0)))))*100000000+IF(N(Q344)&gt;0,Q344,99999)*1000+ROW())</f>
        <v/>
      </c>
      <c r="AF344" s="59" t="str">
        <f>IF(X344&lt;&gt;"",X344,L344)</f>
        <v/>
      </c>
      <c r="AG344" s="59" t="str">
        <f>IF(X344&lt;&gt;"",Y344,IF(L344&lt;&gt;"",M344,""))</f>
        <v/>
      </c>
      <c r="AH344" s="59" t="str">
        <f>IF(L344="","",IF(X344&lt;&gt;"",U344,F344))</f>
        <v/>
      </c>
      <c r="AI344" s="59" t="str">
        <f>IF(L344="","",IF(X344&lt;&gt;"",V344,H344))</f>
        <v/>
      </c>
    </row>
    <row r="345" ht="30" customHeight="1">
      <c r="A345" s="50" t="n"/>
      <c r="B345" s="51" t="n"/>
      <c r="C345" s="51" t="n"/>
      <c r="D345" s="51" t="n"/>
      <c r="E345" s="51" t="n"/>
      <c r="F345" s="52" t="n"/>
      <c r="G345" s="51" t="n"/>
      <c r="H345" s="52" t="n"/>
      <c r="I345" s="51" t="n"/>
      <c r="J345" s="51" t="n"/>
      <c r="K345" s="52" t="n"/>
      <c r="L345" s="53" t="str">
        <f>IF(AND(IF(ISNUMBER(F345),AND(F345&gt;=1,F345&lt;=10,F345=INT(F345)),FALSE),IF(ISNUMBER(H345),AND(H345&gt;=1,H345&lt;=10,H345=INT(H345)),FALSE),IF(ISNUMBER(K345),AND(K345&gt;=1,K345&lt;=10,K345=INT(K345)),FALSE)),F345*H345*K345,"")</f>
        <v/>
      </c>
      <c r="M345" s="54" t="str">
        <f>IF(L345="",IF(D345="","","À coter"),IF(OR(F345&gt;=p_gmin,L345&gt;=p_ipr_crit),"Critique",IF(L345&gt;=p_ipr_act,"Élevée",IF(L345&gt;=p_ipr_watch,"Moyenne","Faible"))))</f>
        <v/>
      </c>
      <c r="N345" s="54" t="str">
        <f>IF(OR(M345="",M345="À coter"),"",IF(OR(M345="Critique",M345="Élevée"),"Oui","Non"))</f>
        <v/>
      </c>
      <c r="O345" s="51" t="n"/>
      <c r="P345" s="51" t="n"/>
      <c r="Q345" s="55" t="n"/>
      <c r="R345" s="50" t="n"/>
      <c r="S345" s="55" t="n"/>
      <c r="T345" s="56" t="n"/>
      <c r="U345" s="52" t="n"/>
      <c r="V345" s="52" t="n"/>
      <c r="W345" s="52" t="n"/>
      <c r="X345" s="53" t="str">
        <f>IF(AND(L345&lt;&gt;"",IF(ISNUMBER(U345),AND(U345&gt;=1,U345&lt;=10,U345=INT(U345)),FALSE),IF(ISNUMBER(V345),AND(V345&gt;=1,V345&lt;=10,V345=INT(V345)),FALSE),IF(ISNUMBER(W345),AND(W345&gt;=1,W345&lt;=10,W345=INT(W345)),FALSE)),U345*V345*W345,"")</f>
        <v/>
      </c>
      <c r="Y345" s="54" t="str">
        <f>IF(X345="","",IF(OR(U345&gt;=p_gmin,X345&gt;=p_ipr_crit),"Critique",IF(X345&gt;=p_ipr_act,"Élevée",IF(X345&gt;=p_ipr_watch,"Moyenne","Faible"))))</f>
        <v/>
      </c>
      <c r="Z345" s="57" t="str">
        <f>IF(X345="","",(L345-X345)/L345)</f>
        <v/>
      </c>
      <c r="AA345" s="54" t="str">
        <f>IF(AND(D345="",O345=""),"",IF(O345="",IF(N345="Oui","Action à définir",IF(N345="Non","Sans action","")),IF(R345="Annulée","Annulée",IF(R345="Réalisée",IF(X345="","À réévaluer","Réalisée"),IF(N(Q345)=0,"Échéance manquante",IF(Q345&lt;p_today,"En retard",IF(Q345-p_today&lt;=p_alert,"Échéance proche","Dans les délais")))))))</f>
        <v/>
      </c>
      <c r="AB345" s="58" t="str">
        <f>IF(AND(A345="",B345="",D345="",F345="",H345="",K345="",O345=""),"",IF(D345="","Mode de défaillance manquant",IF(AND(A345&lt;&gt;"",COUNTIF(am_num,A345)&gt;1),"N° en double",IF(F345="","Gravité G manquante",IF(NOT(IF(ISNUMBER(F345),AND(F345&gt;=1,F345&lt;=10,F345=INT(F345)),FALSE)),"G : entier de 1 à 10",IF(H345="","Occurrence O manquante",IF(NOT(IF(ISNUMBER(H345),AND(H345&gt;=1,H345&lt;=10,H345=INT(H345)),FALSE)),"O : entier de 1 à 10",IF(K345="","Détection D manquante",IF(NOT(IF(ISNUMBER(K345),AND(K345&gt;=1,K345&lt;=10,K345=INT(K345)),FALSE)),"D : entier de 1 à 10",IF(G345="","Cause manquante",IF(AND(O345&lt;&gt;"",P345=""),"Responsable manquant",IF(AND(R345&lt;&gt;"",O345=""),"Statut sans action",IF(AND(R345="Réalisée",N(S345)=0),"Date de réalisation manquante",IF(AND(T345&lt;&gt;"",IF(ISNUMBER(T345),T345&lt;0,TRUE)),"Coût invalide",IF(AND(COUNTBLANK(U345:W345)&gt;0,COUNTBLANK(U345:W345)&lt;3),"Cotation après action incomplète",IF(AND(COUNTBLANK(U345:W345)=0,X345=""),"G', O', D' : entiers de 1 à 10",IF(AND(X345&lt;&gt;"",X345&gt;L345),"IPR après action plus élevé","OK")))))))))))))))))</f>
        <v/>
      </c>
      <c r="AC345" s="59" t="str">
        <f>IF(OR(AA345="En retard",AA345="Échéance proche",AA345="Dans les délais",AA345="Échéance manquante",AA345="Action à définir",AA345="À réévaluer"),IF(OR(plan_who="",P345=plan_who),IF(N(Q345)&gt;0,Q345,99999)*1000+ROW(),""),"")</f>
        <v/>
      </c>
      <c r="AD345" s="59" t="str">
        <f>IF(L345="","",L345*1000+1000-ROW())</f>
        <v/>
      </c>
      <c r="AE345" s="59" t="str">
        <f>IF(IF(AA345="En retard",1,IF(AA345="Action à définir",2,IF(AA345="Échéance manquante",3,IF(AA345="Échéance proche",4,IF(AA345="À réévaluer",5,0)))))=0,"",IF(AA345="En retard",1,IF(AA345="Action à définir",2,IF(AA345="Échéance manquante",3,IF(AA345="Échéance proche",4,IF(AA345="À réévaluer",5,0)))))*100000000+IF(N(Q345)&gt;0,Q345,99999)*1000+ROW())</f>
        <v/>
      </c>
      <c r="AF345" s="59" t="str">
        <f>IF(X345&lt;&gt;"",X345,L345)</f>
        <v/>
      </c>
      <c r="AG345" s="59" t="str">
        <f>IF(X345&lt;&gt;"",Y345,IF(L345&lt;&gt;"",M345,""))</f>
        <v/>
      </c>
      <c r="AH345" s="59" t="str">
        <f>IF(L345="","",IF(X345&lt;&gt;"",U345,F345))</f>
        <v/>
      </c>
      <c r="AI345" s="59" t="str">
        <f>IF(L345="","",IF(X345&lt;&gt;"",V345,H345))</f>
        <v/>
      </c>
    </row>
    <row r="346" ht="30" customHeight="1">
      <c r="A346" s="50" t="n"/>
      <c r="B346" s="51" t="n"/>
      <c r="C346" s="51" t="n"/>
      <c r="D346" s="51" t="n"/>
      <c r="E346" s="51" t="n"/>
      <c r="F346" s="52" t="n"/>
      <c r="G346" s="51" t="n"/>
      <c r="H346" s="52" t="n"/>
      <c r="I346" s="51" t="n"/>
      <c r="J346" s="51" t="n"/>
      <c r="K346" s="52" t="n"/>
      <c r="L346" s="53" t="str">
        <f>IF(AND(IF(ISNUMBER(F346),AND(F346&gt;=1,F346&lt;=10,F346=INT(F346)),FALSE),IF(ISNUMBER(H346),AND(H346&gt;=1,H346&lt;=10,H346=INT(H346)),FALSE),IF(ISNUMBER(K346),AND(K346&gt;=1,K346&lt;=10,K346=INT(K346)),FALSE)),F346*H346*K346,"")</f>
        <v/>
      </c>
      <c r="M346" s="54" t="str">
        <f>IF(L346="",IF(D346="","","À coter"),IF(OR(F346&gt;=p_gmin,L346&gt;=p_ipr_crit),"Critique",IF(L346&gt;=p_ipr_act,"Élevée",IF(L346&gt;=p_ipr_watch,"Moyenne","Faible"))))</f>
        <v/>
      </c>
      <c r="N346" s="54" t="str">
        <f>IF(OR(M346="",M346="À coter"),"",IF(OR(M346="Critique",M346="Élevée"),"Oui","Non"))</f>
        <v/>
      </c>
      <c r="O346" s="51" t="n"/>
      <c r="P346" s="51" t="n"/>
      <c r="Q346" s="55" t="n"/>
      <c r="R346" s="50" t="n"/>
      <c r="S346" s="55" t="n"/>
      <c r="T346" s="56" t="n"/>
      <c r="U346" s="52" t="n"/>
      <c r="V346" s="52" t="n"/>
      <c r="W346" s="52" t="n"/>
      <c r="X346" s="53" t="str">
        <f>IF(AND(L346&lt;&gt;"",IF(ISNUMBER(U346),AND(U346&gt;=1,U346&lt;=10,U346=INT(U346)),FALSE),IF(ISNUMBER(V346),AND(V346&gt;=1,V346&lt;=10,V346=INT(V346)),FALSE),IF(ISNUMBER(W346),AND(W346&gt;=1,W346&lt;=10,W346=INT(W346)),FALSE)),U346*V346*W346,"")</f>
        <v/>
      </c>
      <c r="Y346" s="54" t="str">
        <f>IF(X346="","",IF(OR(U346&gt;=p_gmin,X346&gt;=p_ipr_crit),"Critique",IF(X346&gt;=p_ipr_act,"Élevée",IF(X346&gt;=p_ipr_watch,"Moyenne","Faible"))))</f>
        <v/>
      </c>
      <c r="Z346" s="57" t="str">
        <f>IF(X346="","",(L346-X346)/L346)</f>
        <v/>
      </c>
      <c r="AA346" s="54" t="str">
        <f>IF(AND(D346="",O346=""),"",IF(O346="",IF(N346="Oui","Action à définir",IF(N346="Non","Sans action","")),IF(R346="Annulée","Annulée",IF(R346="Réalisée",IF(X346="","À réévaluer","Réalisée"),IF(N(Q346)=0,"Échéance manquante",IF(Q346&lt;p_today,"En retard",IF(Q346-p_today&lt;=p_alert,"Échéance proche","Dans les délais")))))))</f>
        <v/>
      </c>
      <c r="AB346" s="58" t="str">
        <f>IF(AND(A346="",B346="",D346="",F346="",H346="",K346="",O346=""),"",IF(D346="","Mode de défaillance manquant",IF(AND(A346&lt;&gt;"",COUNTIF(am_num,A346)&gt;1),"N° en double",IF(F346="","Gravité G manquante",IF(NOT(IF(ISNUMBER(F346),AND(F346&gt;=1,F346&lt;=10,F346=INT(F346)),FALSE)),"G : entier de 1 à 10",IF(H346="","Occurrence O manquante",IF(NOT(IF(ISNUMBER(H346),AND(H346&gt;=1,H346&lt;=10,H346=INT(H346)),FALSE)),"O : entier de 1 à 10",IF(K346="","Détection D manquante",IF(NOT(IF(ISNUMBER(K346),AND(K346&gt;=1,K346&lt;=10,K346=INT(K346)),FALSE)),"D : entier de 1 à 10",IF(G346="","Cause manquante",IF(AND(O346&lt;&gt;"",P346=""),"Responsable manquant",IF(AND(R346&lt;&gt;"",O346=""),"Statut sans action",IF(AND(R346="Réalisée",N(S346)=0),"Date de réalisation manquante",IF(AND(T346&lt;&gt;"",IF(ISNUMBER(T346),T346&lt;0,TRUE)),"Coût invalide",IF(AND(COUNTBLANK(U346:W346)&gt;0,COUNTBLANK(U346:W346)&lt;3),"Cotation après action incomplète",IF(AND(COUNTBLANK(U346:W346)=0,X346=""),"G', O', D' : entiers de 1 à 10",IF(AND(X346&lt;&gt;"",X346&gt;L346),"IPR après action plus élevé","OK")))))))))))))))))</f>
        <v/>
      </c>
      <c r="AC346" s="59" t="str">
        <f>IF(OR(AA346="En retard",AA346="Échéance proche",AA346="Dans les délais",AA346="Échéance manquante",AA346="Action à définir",AA346="À réévaluer"),IF(OR(plan_who="",P346=plan_who),IF(N(Q346)&gt;0,Q346,99999)*1000+ROW(),""),"")</f>
        <v/>
      </c>
      <c r="AD346" s="59" t="str">
        <f>IF(L346="","",L346*1000+1000-ROW())</f>
        <v/>
      </c>
      <c r="AE346" s="59" t="str">
        <f>IF(IF(AA346="En retard",1,IF(AA346="Action à définir",2,IF(AA346="Échéance manquante",3,IF(AA346="Échéance proche",4,IF(AA346="À réévaluer",5,0)))))=0,"",IF(AA346="En retard",1,IF(AA346="Action à définir",2,IF(AA346="Échéance manquante",3,IF(AA346="Échéance proche",4,IF(AA346="À réévaluer",5,0)))))*100000000+IF(N(Q346)&gt;0,Q346,99999)*1000+ROW())</f>
        <v/>
      </c>
      <c r="AF346" s="59" t="str">
        <f>IF(X346&lt;&gt;"",X346,L346)</f>
        <v/>
      </c>
      <c r="AG346" s="59" t="str">
        <f>IF(X346&lt;&gt;"",Y346,IF(L346&lt;&gt;"",M346,""))</f>
        <v/>
      </c>
      <c r="AH346" s="59" t="str">
        <f>IF(L346="","",IF(X346&lt;&gt;"",U346,F346))</f>
        <v/>
      </c>
      <c r="AI346" s="59" t="str">
        <f>IF(L346="","",IF(X346&lt;&gt;"",V346,H346))</f>
        <v/>
      </c>
    </row>
    <row r="347" ht="30" customHeight="1">
      <c r="A347" s="50" t="n"/>
      <c r="B347" s="51" t="n"/>
      <c r="C347" s="51" t="n"/>
      <c r="D347" s="51" t="n"/>
      <c r="E347" s="51" t="n"/>
      <c r="F347" s="52" t="n"/>
      <c r="G347" s="51" t="n"/>
      <c r="H347" s="52" t="n"/>
      <c r="I347" s="51" t="n"/>
      <c r="J347" s="51" t="n"/>
      <c r="K347" s="52" t="n"/>
      <c r="L347" s="53" t="str">
        <f>IF(AND(IF(ISNUMBER(F347),AND(F347&gt;=1,F347&lt;=10,F347=INT(F347)),FALSE),IF(ISNUMBER(H347),AND(H347&gt;=1,H347&lt;=10,H347=INT(H347)),FALSE),IF(ISNUMBER(K347),AND(K347&gt;=1,K347&lt;=10,K347=INT(K347)),FALSE)),F347*H347*K347,"")</f>
        <v/>
      </c>
      <c r="M347" s="54" t="str">
        <f>IF(L347="",IF(D347="","","À coter"),IF(OR(F347&gt;=p_gmin,L347&gt;=p_ipr_crit),"Critique",IF(L347&gt;=p_ipr_act,"Élevée",IF(L347&gt;=p_ipr_watch,"Moyenne","Faible"))))</f>
        <v/>
      </c>
      <c r="N347" s="54" t="str">
        <f>IF(OR(M347="",M347="À coter"),"",IF(OR(M347="Critique",M347="Élevée"),"Oui","Non"))</f>
        <v/>
      </c>
      <c r="O347" s="51" t="n"/>
      <c r="P347" s="51" t="n"/>
      <c r="Q347" s="55" t="n"/>
      <c r="R347" s="50" t="n"/>
      <c r="S347" s="55" t="n"/>
      <c r="T347" s="56" t="n"/>
      <c r="U347" s="52" t="n"/>
      <c r="V347" s="52" t="n"/>
      <c r="W347" s="52" t="n"/>
      <c r="X347" s="53" t="str">
        <f>IF(AND(L347&lt;&gt;"",IF(ISNUMBER(U347),AND(U347&gt;=1,U347&lt;=10,U347=INT(U347)),FALSE),IF(ISNUMBER(V347),AND(V347&gt;=1,V347&lt;=10,V347=INT(V347)),FALSE),IF(ISNUMBER(W347),AND(W347&gt;=1,W347&lt;=10,W347=INT(W347)),FALSE)),U347*V347*W347,"")</f>
        <v/>
      </c>
      <c r="Y347" s="54" t="str">
        <f>IF(X347="","",IF(OR(U347&gt;=p_gmin,X347&gt;=p_ipr_crit),"Critique",IF(X347&gt;=p_ipr_act,"Élevée",IF(X347&gt;=p_ipr_watch,"Moyenne","Faible"))))</f>
        <v/>
      </c>
      <c r="Z347" s="57" t="str">
        <f>IF(X347="","",(L347-X347)/L347)</f>
        <v/>
      </c>
      <c r="AA347" s="54" t="str">
        <f>IF(AND(D347="",O347=""),"",IF(O347="",IF(N347="Oui","Action à définir",IF(N347="Non","Sans action","")),IF(R347="Annulée","Annulée",IF(R347="Réalisée",IF(X347="","À réévaluer","Réalisée"),IF(N(Q347)=0,"Échéance manquante",IF(Q347&lt;p_today,"En retard",IF(Q347-p_today&lt;=p_alert,"Échéance proche","Dans les délais")))))))</f>
        <v/>
      </c>
      <c r="AB347" s="58" t="str">
        <f>IF(AND(A347="",B347="",D347="",F347="",H347="",K347="",O347=""),"",IF(D347="","Mode de défaillance manquant",IF(AND(A347&lt;&gt;"",COUNTIF(am_num,A347)&gt;1),"N° en double",IF(F347="","Gravité G manquante",IF(NOT(IF(ISNUMBER(F347),AND(F347&gt;=1,F347&lt;=10,F347=INT(F347)),FALSE)),"G : entier de 1 à 10",IF(H347="","Occurrence O manquante",IF(NOT(IF(ISNUMBER(H347),AND(H347&gt;=1,H347&lt;=10,H347=INT(H347)),FALSE)),"O : entier de 1 à 10",IF(K347="","Détection D manquante",IF(NOT(IF(ISNUMBER(K347),AND(K347&gt;=1,K347&lt;=10,K347=INT(K347)),FALSE)),"D : entier de 1 à 10",IF(G347="","Cause manquante",IF(AND(O347&lt;&gt;"",P347=""),"Responsable manquant",IF(AND(R347&lt;&gt;"",O347=""),"Statut sans action",IF(AND(R347="Réalisée",N(S347)=0),"Date de réalisation manquante",IF(AND(T347&lt;&gt;"",IF(ISNUMBER(T347),T347&lt;0,TRUE)),"Coût invalide",IF(AND(COUNTBLANK(U347:W347)&gt;0,COUNTBLANK(U347:W347)&lt;3),"Cotation après action incomplète",IF(AND(COUNTBLANK(U347:W347)=0,X347=""),"G', O', D' : entiers de 1 à 10",IF(AND(X347&lt;&gt;"",X347&gt;L347),"IPR après action plus élevé","OK")))))))))))))))))</f>
        <v/>
      </c>
      <c r="AC347" s="59" t="str">
        <f>IF(OR(AA347="En retard",AA347="Échéance proche",AA347="Dans les délais",AA347="Échéance manquante",AA347="Action à définir",AA347="À réévaluer"),IF(OR(plan_who="",P347=plan_who),IF(N(Q347)&gt;0,Q347,99999)*1000+ROW(),""),"")</f>
        <v/>
      </c>
      <c r="AD347" s="59" t="str">
        <f>IF(L347="","",L347*1000+1000-ROW())</f>
        <v/>
      </c>
      <c r="AE347" s="59" t="str">
        <f>IF(IF(AA347="En retard",1,IF(AA347="Action à définir",2,IF(AA347="Échéance manquante",3,IF(AA347="Échéance proche",4,IF(AA347="À réévaluer",5,0)))))=0,"",IF(AA347="En retard",1,IF(AA347="Action à définir",2,IF(AA347="Échéance manquante",3,IF(AA347="Échéance proche",4,IF(AA347="À réévaluer",5,0)))))*100000000+IF(N(Q347)&gt;0,Q347,99999)*1000+ROW())</f>
        <v/>
      </c>
      <c r="AF347" s="59" t="str">
        <f>IF(X347&lt;&gt;"",X347,L347)</f>
        <v/>
      </c>
      <c r="AG347" s="59" t="str">
        <f>IF(X347&lt;&gt;"",Y347,IF(L347&lt;&gt;"",M347,""))</f>
        <v/>
      </c>
      <c r="AH347" s="59" t="str">
        <f>IF(L347="","",IF(X347&lt;&gt;"",U347,F347))</f>
        <v/>
      </c>
      <c r="AI347" s="59" t="str">
        <f>IF(L347="","",IF(X347&lt;&gt;"",V347,H347))</f>
        <v/>
      </c>
    </row>
    <row r="348" ht="30" customHeight="1">
      <c r="A348" s="50" t="n"/>
      <c r="B348" s="51" t="n"/>
      <c r="C348" s="51" t="n"/>
      <c r="D348" s="51" t="n"/>
      <c r="E348" s="51" t="n"/>
      <c r="F348" s="52" t="n"/>
      <c r="G348" s="51" t="n"/>
      <c r="H348" s="52" t="n"/>
      <c r="I348" s="51" t="n"/>
      <c r="J348" s="51" t="n"/>
      <c r="K348" s="52" t="n"/>
      <c r="L348" s="53" t="str">
        <f>IF(AND(IF(ISNUMBER(F348),AND(F348&gt;=1,F348&lt;=10,F348=INT(F348)),FALSE),IF(ISNUMBER(H348),AND(H348&gt;=1,H348&lt;=10,H348=INT(H348)),FALSE),IF(ISNUMBER(K348),AND(K348&gt;=1,K348&lt;=10,K348=INT(K348)),FALSE)),F348*H348*K348,"")</f>
        <v/>
      </c>
      <c r="M348" s="54" t="str">
        <f>IF(L348="",IF(D348="","","À coter"),IF(OR(F348&gt;=p_gmin,L348&gt;=p_ipr_crit),"Critique",IF(L348&gt;=p_ipr_act,"Élevée",IF(L348&gt;=p_ipr_watch,"Moyenne","Faible"))))</f>
        <v/>
      </c>
      <c r="N348" s="54" t="str">
        <f>IF(OR(M348="",M348="À coter"),"",IF(OR(M348="Critique",M348="Élevée"),"Oui","Non"))</f>
        <v/>
      </c>
      <c r="O348" s="51" t="n"/>
      <c r="P348" s="51" t="n"/>
      <c r="Q348" s="55" t="n"/>
      <c r="R348" s="50" t="n"/>
      <c r="S348" s="55" t="n"/>
      <c r="T348" s="56" t="n"/>
      <c r="U348" s="52" t="n"/>
      <c r="V348" s="52" t="n"/>
      <c r="W348" s="52" t="n"/>
      <c r="X348" s="53" t="str">
        <f>IF(AND(L348&lt;&gt;"",IF(ISNUMBER(U348),AND(U348&gt;=1,U348&lt;=10,U348=INT(U348)),FALSE),IF(ISNUMBER(V348),AND(V348&gt;=1,V348&lt;=10,V348=INT(V348)),FALSE),IF(ISNUMBER(W348),AND(W348&gt;=1,W348&lt;=10,W348=INT(W348)),FALSE)),U348*V348*W348,"")</f>
        <v/>
      </c>
      <c r="Y348" s="54" t="str">
        <f>IF(X348="","",IF(OR(U348&gt;=p_gmin,X348&gt;=p_ipr_crit),"Critique",IF(X348&gt;=p_ipr_act,"Élevée",IF(X348&gt;=p_ipr_watch,"Moyenne","Faible"))))</f>
        <v/>
      </c>
      <c r="Z348" s="57" t="str">
        <f>IF(X348="","",(L348-X348)/L348)</f>
        <v/>
      </c>
      <c r="AA348" s="54" t="str">
        <f>IF(AND(D348="",O348=""),"",IF(O348="",IF(N348="Oui","Action à définir",IF(N348="Non","Sans action","")),IF(R348="Annulée","Annulée",IF(R348="Réalisée",IF(X348="","À réévaluer","Réalisée"),IF(N(Q348)=0,"Échéance manquante",IF(Q348&lt;p_today,"En retard",IF(Q348-p_today&lt;=p_alert,"Échéance proche","Dans les délais")))))))</f>
        <v/>
      </c>
      <c r="AB348" s="58" t="str">
        <f>IF(AND(A348="",B348="",D348="",F348="",H348="",K348="",O348=""),"",IF(D348="","Mode de défaillance manquant",IF(AND(A348&lt;&gt;"",COUNTIF(am_num,A348)&gt;1),"N° en double",IF(F348="","Gravité G manquante",IF(NOT(IF(ISNUMBER(F348),AND(F348&gt;=1,F348&lt;=10,F348=INT(F348)),FALSE)),"G : entier de 1 à 10",IF(H348="","Occurrence O manquante",IF(NOT(IF(ISNUMBER(H348),AND(H348&gt;=1,H348&lt;=10,H348=INT(H348)),FALSE)),"O : entier de 1 à 10",IF(K348="","Détection D manquante",IF(NOT(IF(ISNUMBER(K348),AND(K348&gt;=1,K348&lt;=10,K348=INT(K348)),FALSE)),"D : entier de 1 à 10",IF(G348="","Cause manquante",IF(AND(O348&lt;&gt;"",P348=""),"Responsable manquant",IF(AND(R348&lt;&gt;"",O348=""),"Statut sans action",IF(AND(R348="Réalisée",N(S348)=0),"Date de réalisation manquante",IF(AND(T348&lt;&gt;"",IF(ISNUMBER(T348),T348&lt;0,TRUE)),"Coût invalide",IF(AND(COUNTBLANK(U348:W348)&gt;0,COUNTBLANK(U348:W348)&lt;3),"Cotation après action incomplète",IF(AND(COUNTBLANK(U348:W348)=0,X348=""),"G', O', D' : entiers de 1 à 10",IF(AND(X348&lt;&gt;"",X348&gt;L348),"IPR après action plus élevé","OK")))))))))))))))))</f>
        <v/>
      </c>
      <c r="AC348" s="59" t="str">
        <f>IF(OR(AA348="En retard",AA348="Échéance proche",AA348="Dans les délais",AA348="Échéance manquante",AA348="Action à définir",AA348="À réévaluer"),IF(OR(plan_who="",P348=plan_who),IF(N(Q348)&gt;0,Q348,99999)*1000+ROW(),""),"")</f>
        <v/>
      </c>
      <c r="AD348" s="59" t="str">
        <f>IF(L348="","",L348*1000+1000-ROW())</f>
        <v/>
      </c>
      <c r="AE348" s="59" t="str">
        <f>IF(IF(AA348="En retard",1,IF(AA348="Action à définir",2,IF(AA348="Échéance manquante",3,IF(AA348="Échéance proche",4,IF(AA348="À réévaluer",5,0)))))=0,"",IF(AA348="En retard",1,IF(AA348="Action à définir",2,IF(AA348="Échéance manquante",3,IF(AA348="Échéance proche",4,IF(AA348="À réévaluer",5,0)))))*100000000+IF(N(Q348)&gt;0,Q348,99999)*1000+ROW())</f>
        <v/>
      </c>
      <c r="AF348" s="59" t="str">
        <f>IF(X348&lt;&gt;"",X348,L348)</f>
        <v/>
      </c>
      <c r="AG348" s="59" t="str">
        <f>IF(X348&lt;&gt;"",Y348,IF(L348&lt;&gt;"",M348,""))</f>
        <v/>
      </c>
      <c r="AH348" s="59" t="str">
        <f>IF(L348="","",IF(X348&lt;&gt;"",U348,F348))</f>
        <v/>
      </c>
      <c r="AI348" s="59" t="str">
        <f>IF(L348="","",IF(X348&lt;&gt;"",V348,H348))</f>
        <v/>
      </c>
    </row>
    <row r="349" ht="30" customHeight="1">
      <c r="A349" s="50" t="n"/>
      <c r="B349" s="51" t="n"/>
      <c r="C349" s="51" t="n"/>
      <c r="D349" s="51" t="n"/>
      <c r="E349" s="51" t="n"/>
      <c r="F349" s="52" t="n"/>
      <c r="G349" s="51" t="n"/>
      <c r="H349" s="52" t="n"/>
      <c r="I349" s="51" t="n"/>
      <c r="J349" s="51" t="n"/>
      <c r="K349" s="52" t="n"/>
      <c r="L349" s="53" t="str">
        <f>IF(AND(IF(ISNUMBER(F349),AND(F349&gt;=1,F349&lt;=10,F349=INT(F349)),FALSE),IF(ISNUMBER(H349),AND(H349&gt;=1,H349&lt;=10,H349=INT(H349)),FALSE),IF(ISNUMBER(K349),AND(K349&gt;=1,K349&lt;=10,K349=INT(K349)),FALSE)),F349*H349*K349,"")</f>
        <v/>
      </c>
      <c r="M349" s="54" t="str">
        <f>IF(L349="",IF(D349="","","À coter"),IF(OR(F349&gt;=p_gmin,L349&gt;=p_ipr_crit),"Critique",IF(L349&gt;=p_ipr_act,"Élevée",IF(L349&gt;=p_ipr_watch,"Moyenne","Faible"))))</f>
        <v/>
      </c>
      <c r="N349" s="54" t="str">
        <f>IF(OR(M349="",M349="À coter"),"",IF(OR(M349="Critique",M349="Élevée"),"Oui","Non"))</f>
        <v/>
      </c>
      <c r="O349" s="51" t="n"/>
      <c r="P349" s="51" t="n"/>
      <c r="Q349" s="55" t="n"/>
      <c r="R349" s="50" t="n"/>
      <c r="S349" s="55" t="n"/>
      <c r="T349" s="56" t="n"/>
      <c r="U349" s="52" t="n"/>
      <c r="V349" s="52" t="n"/>
      <c r="W349" s="52" t="n"/>
      <c r="X349" s="53" t="str">
        <f>IF(AND(L349&lt;&gt;"",IF(ISNUMBER(U349),AND(U349&gt;=1,U349&lt;=10,U349=INT(U349)),FALSE),IF(ISNUMBER(V349),AND(V349&gt;=1,V349&lt;=10,V349=INT(V349)),FALSE),IF(ISNUMBER(W349),AND(W349&gt;=1,W349&lt;=10,W349=INT(W349)),FALSE)),U349*V349*W349,"")</f>
        <v/>
      </c>
      <c r="Y349" s="54" t="str">
        <f>IF(X349="","",IF(OR(U349&gt;=p_gmin,X349&gt;=p_ipr_crit),"Critique",IF(X349&gt;=p_ipr_act,"Élevée",IF(X349&gt;=p_ipr_watch,"Moyenne","Faible"))))</f>
        <v/>
      </c>
      <c r="Z349" s="57" t="str">
        <f>IF(X349="","",(L349-X349)/L349)</f>
        <v/>
      </c>
      <c r="AA349" s="54" t="str">
        <f>IF(AND(D349="",O349=""),"",IF(O349="",IF(N349="Oui","Action à définir",IF(N349="Non","Sans action","")),IF(R349="Annulée","Annulée",IF(R349="Réalisée",IF(X349="","À réévaluer","Réalisée"),IF(N(Q349)=0,"Échéance manquante",IF(Q349&lt;p_today,"En retard",IF(Q349-p_today&lt;=p_alert,"Échéance proche","Dans les délais")))))))</f>
        <v/>
      </c>
      <c r="AB349" s="58" t="str">
        <f>IF(AND(A349="",B349="",D349="",F349="",H349="",K349="",O349=""),"",IF(D349="","Mode de défaillance manquant",IF(AND(A349&lt;&gt;"",COUNTIF(am_num,A349)&gt;1),"N° en double",IF(F349="","Gravité G manquante",IF(NOT(IF(ISNUMBER(F349),AND(F349&gt;=1,F349&lt;=10,F349=INT(F349)),FALSE)),"G : entier de 1 à 10",IF(H349="","Occurrence O manquante",IF(NOT(IF(ISNUMBER(H349),AND(H349&gt;=1,H349&lt;=10,H349=INT(H349)),FALSE)),"O : entier de 1 à 10",IF(K349="","Détection D manquante",IF(NOT(IF(ISNUMBER(K349),AND(K349&gt;=1,K349&lt;=10,K349=INT(K349)),FALSE)),"D : entier de 1 à 10",IF(G349="","Cause manquante",IF(AND(O349&lt;&gt;"",P349=""),"Responsable manquant",IF(AND(R349&lt;&gt;"",O349=""),"Statut sans action",IF(AND(R349="Réalisée",N(S349)=0),"Date de réalisation manquante",IF(AND(T349&lt;&gt;"",IF(ISNUMBER(T349),T349&lt;0,TRUE)),"Coût invalide",IF(AND(COUNTBLANK(U349:W349)&gt;0,COUNTBLANK(U349:W349)&lt;3),"Cotation après action incomplète",IF(AND(COUNTBLANK(U349:W349)=0,X349=""),"G', O', D' : entiers de 1 à 10",IF(AND(X349&lt;&gt;"",X349&gt;L349),"IPR après action plus élevé","OK")))))))))))))))))</f>
        <v/>
      </c>
      <c r="AC349" s="59" t="str">
        <f>IF(OR(AA349="En retard",AA349="Échéance proche",AA349="Dans les délais",AA349="Échéance manquante",AA349="Action à définir",AA349="À réévaluer"),IF(OR(plan_who="",P349=plan_who),IF(N(Q349)&gt;0,Q349,99999)*1000+ROW(),""),"")</f>
        <v/>
      </c>
      <c r="AD349" s="59" t="str">
        <f>IF(L349="","",L349*1000+1000-ROW())</f>
        <v/>
      </c>
      <c r="AE349" s="59" t="str">
        <f>IF(IF(AA349="En retard",1,IF(AA349="Action à définir",2,IF(AA349="Échéance manquante",3,IF(AA349="Échéance proche",4,IF(AA349="À réévaluer",5,0)))))=0,"",IF(AA349="En retard",1,IF(AA349="Action à définir",2,IF(AA349="Échéance manquante",3,IF(AA349="Échéance proche",4,IF(AA349="À réévaluer",5,0)))))*100000000+IF(N(Q349)&gt;0,Q349,99999)*1000+ROW())</f>
        <v/>
      </c>
      <c r="AF349" s="59" t="str">
        <f>IF(X349&lt;&gt;"",X349,L349)</f>
        <v/>
      </c>
      <c r="AG349" s="59" t="str">
        <f>IF(X349&lt;&gt;"",Y349,IF(L349&lt;&gt;"",M349,""))</f>
        <v/>
      </c>
      <c r="AH349" s="59" t="str">
        <f>IF(L349="","",IF(X349&lt;&gt;"",U349,F349))</f>
        <v/>
      </c>
      <c r="AI349" s="59" t="str">
        <f>IF(L349="","",IF(X349&lt;&gt;"",V349,H349))</f>
        <v/>
      </c>
    </row>
    <row r="350" ht="30" customHeight="1">
      <c r="A350" s="50" t="n"/>
      <c r="B350" s="51" t="n"/>
      <c r="C350" s="51" t="n"/>
      <c r="D350" s="51" t="n"/>
      <c r="E350" s="51" t="n"/>
      <c r="F350" s="52" t="n"/>
      <c r="G350" s="51" t="n"/>
      <c r="H350" s="52" t="n"/>
      <c r="I350" s="51" t="n"/>
      <c r="J350" s="51" t="n"/>
      <c r="K350" s="52" t="n"/>
      <c r="L350" s="53" t="str">
        <f>IF(AND(IF(ISNUMBER(F350),AND(F350&gt;=1,F350&lt;=10,F350=INT(F350)),FALSE),IF(ISNUMBER(H350),AND(H350&gt;=1,H350&lt;=10,H350=INT(H350)),FALSE),IF(ISNUMBER(K350),AND(K350&gt;=1,K350&lt;=10,K350=INT(K350)),FALSE)),F350*H350*K350,"")</f>
        <v/>
      </c>
      <c r="M350" s="54" t="str">
        <f>IF(L350="",IF(D350="","","À coter"),IF(OR(F350&gt;=p_gmin,L350&gt;=p_ipr_crit),"Critique",IF(L350&gt;=p_ipr_act,"Élevée",IF(L350&gt;=p_ipr_watch,"Moyenne","Faible"))))</f>
        <v/>
      </c>
      <c r="N350" s="54" t="str">
        <f>IF(OR(M350="",M350="À coter"),"",IF(OR(M350="Critique",M350="Élevée"),"Oui","Non"))</f>
        <v/>
      </c>
      <c r="O350" s="51" t="n"/>
      <c r="P350" s="51" t="n"/>
      <c r="Q350" s="55" t="n"/>
      <c r="R350" s="50" t="n"/>
      <c r="S350" s="55" t="n"/>
      <c r="T350" s="56" t="n"/>
      <c r="U350" s="52" t="n"/>
      <c r="V350" s="52" t="n"/>
      <c r="W350" s="52" t="n"/>
      <c r="X350" s="53" t="str">
        <f>IF(AND(L350&lt;&gt;"",IF(ISNUMBER(U350),AND(U350&gt;=1,U350&lt;=10,U350=INT(U350)),FALSE),IF(ISNUMBER(V350),AND(V350&gt;=1,V350&lt;=10,V350=INT(V350)),FALSE),IF(ISNUMBER(W350),AND(W350&gt;=1,W350&lt;=10,W350=INT(W350)),FALSE)),U350*V350*W350,"")</f>
        <v/>
      </c>
      <c r="Y350" s="54" t="str">
        <f>IF(X350="","",IF(OR(U350&gt;=p_gmin,X350&gt;=p_ipr_crit),"Critique",IF(X350&gt;=p_ipr_act,"Élevée",IF(X350&gt;=p_ipr_watch,"Moyenne","Faible"))))</f>
        <v/>
      </c>
      <c r="Z350" s="57" t="str">
        <f>IF(X350="","",(L350-X350)/L350)</f>
        <v/>
      </c>
      <c r="AA350" s="54" t="str">
        <f>IF(AND(D350="",O350=""),"",IF(O350="",IF(N350="Oui","Action à définir",IF(N350="Non","Sans action","")),IF(R350="Annulée","Annulée",IF(R350="Réalisée",IF(X350="","À réévaluer","Réalisée"),IF(N(Q350)=0,"Échéance manquante",IF(Q350&lt;p_today,"En retard",IF(Q350-p_today&lt;=p_alert,"Échéance proche","Dans les délais")))))))</f>
        <v/>
      </c>
      <c r="AB350" s="58" t="str">
        <f>IF(AND(A350="",B350="",D350="",F350="",H350="",K350="",O350=""),"",IF(D350="","Mode de défaillance manquant",IF(AND(A350&lt;&gt;"",COUNTIF(am_num,A350)&gt;1),"N° en double",IF(F350="","Gravité G manquante",IF(NOT(IF(ISNUMBER(F350),AND(F350&gt;=1,F350&lt;=10,F350=INT(F350)),FALSE)),"G : entier de 1 à 10",IF(H350="","Occurrence O manquante",IF(NOT(IF(ISNUMBER(H350),AND(H350&gt;=1,H350&lt;=10,H350=INT(H350)),FALSE)),"O : entier de 1 à 10",IF(K350="","Détection D manquante",IF(NOT(IF(ISNUMBER(K350),AND(K350&gt;=1,K350&lt;=10,K350=INT(K350)),FALSE)),"D : entier de 1 à 10",IF(G350="","Cause manquante",IF(AND(O350&lt;&gt;"",P350=""),"Responsable manquant",IF(AND(R350&lt;&gt;"",O350=""),"Statut sans action",IF(AND(R350="Réalisée",N(S350)=0),"Date de réalisation manquante",IF(AND(T350&lt;&gt;"",IF(ISNUMBER(T350),T350&lt;0,TRUE)),"Coût invalide",IF(AND(COUNTBLANK(U350:W350)&gt;0,COUNTBLANK(U350:W350)&lt;3),"Cotation après action incomplète",IF(AND(COUNTBLANK(U350:W350)=0,X350=""),"G', O', D' : entiers de 1 à 10",IF(AND(X350&lt;&gt;"",X350&gt;L350),"IPR après action plus élevé","OK")))))))))))))))))</f>
        <v/>
      </c>
      <c r="AC350" s="59" t="str">
        <f>IF(OR(AA350="En retard",AA350="Échéance proche",AA350="Dans les délais",AA350="Échéance manquante",AA350="Action à définir",AA350="À réévaluer"),IF(OR(plan_who="",P350=plan_who),IF(N(Q350)&gt;0,Q350,99999)*1000+ROW(),""),"")</f>
        <v/>
      </c>
      <c r="AD350" s="59" t="str">
        <f>IF(L350="","",L350*1000+1000-ROW())</f>
        <v/>
      </c>
      <c r="AE350" s="59" t="str">
        <f>IF(IF(AA350="En retard",1,IF(AA350="Action à définir",2,IF(AA350="Échéance manquante",3,IF(AA350="Échéance proche",4,IF(AA350="À réévaluer",5,0)))))=0,"",IF(AA350="En retard",1,IF(AA350="Action à définir",2,IF(AA350="Échéance manquante",3,IF(AA350="Échéance proche",4,IF(AA350="À réévaluer",5,0)))))*100000000+IF(N(Q350)&gt;0,Q350,99999)*1000+ROW())</f>
        <v/>
      </c>
      <c r="AF350" s="59" t="str">
        <f>IF(X350&lt;&gt;"",X350,L350)</f>
        <v/>
      </c>
      <c r="AG350" s="59" t="str">
        <f>IF(X350&lt;&gt;"",Y350,IF(L350&lt;&gt;"",M350,""))</f>
        <v/>
      </c>
      <c r="AH350" s="59" t="str">
        <f>IF(L350="","",IF(X350&lt;&gt;"",U350,F350))</f>
        <v/>
      </c>
      <c r="AI350" s="59" t="str">
        <f>IF(L350="","",IF(X350&lt;&gt;"",V350,H350))</f>
        <v/>
      </c>
    </row>
    <row r="351" ht="30" customHeight="1">
      <c r="A351" s="50" t="n"/>
      <c r="B351" s="51" t="n"/>
      <c r="C351" s="51" t="n"/>
      <c r="D351" s="51" t="n"/>
      <c r="E351" s="51" t="n"/>
      <c r="F351" s="52" t="n"/>
      <c r="G351" s="51" t="n"/>
      <c r="H351" s="52" t="n"/>
      <c r="I351" s="51" t="n"/>
      <c r="J351" s="51" t="n"/>
      <c r="K351" s="52" t="n"/>
      <c r="L351" s="53" t="str">
        <f>IF(AND(IF(ISNUMBER(F351),AND(F351&gt;=1,F351&lt;=10,F351=INT(F351)),FALSE),IF(ISNUMBER(H351),AND(H351&gt;=1,H351&lt;=10,H351=INT(H351)),FALSE),IF(ISNUMBER(K351),AND(K351&gt;=1,K351&lt;=10,K351=INT(K351)),FALSE)),F351*H351*K351,"")</f>
        <v/>
      </c>
      <c r="M351" s="54" t="str">
        <f>IF(L351="",IF(D351="","","À coter"),IF(OR(F351&gt;=p_gmin,L351&gt;=p_ipr_crit),"Critique",IF(L351&gt;=p_ipr_act,"Élevée",IF(L351&gt;=p_ipr_watch,"Moyenne","Faible"))))</f>
        <v/>
      </c>
      <c r="N351" s="54" t="str">
        <f>IF(OR(M351="",M351="À coter"),"",IF(OR(M351="Critique",M351="Élevée"),"Oui","Non"))</f>
        <v/>
      </c>
      <c r="O351" s="51" t="n"/>
      <c r="P351" s="51" t="n"/>
      <c r="Q351" s="55" t="n"/>
      <c r="R351" s="50" t="n"/>
      <c r="S351" s="55" t="n"/>
      <c r="T351" s="56" t="n"/>
      <c r="U351" s="52" t="n"/>
      <c r="V351" s="52" t="n"/>
      <c r="W351" s="52" t="n"/>
      <c r="X351" s="53" t="str">
        <f>IF(AND(L351&lt;&gt;"",IF(ISNUMBER(U351),AND(U351&gt;=1,U351&lt;=10,U351=INT(U351)),FALSE),IF(ISNUMBER(V351),AND(V351&gt;=1,V351&lt;=10,V351=INT(V351)),FALSE),IF(ISNUMBER(W351),AND(W351&gt;=1,W351&lt;=10,W351=INT(W351)),FALSE)),U351*V351*W351,"")</f>
        <v/>
      </c>
      <c r="Y351" s="54" t="str">
        <f>IF(X351="","",IF(OR(U351&gt;=p_gmin,X351&gt;=p_ipr_crit),"Critique",IF(X351&gt;=p_ipr_act,"Élevée",IF(X351&gt;=p_ipr_watch,"Moyenne","Faible"))))</f>
        <v/>
      </c>
      <c r="Z351" s="57" t="str">
        <f>IF(X351="","",(L351-X351)/L351)</f>
        <v/>
      </c>
      <c r="AA351" s="54" t="str">
        <f>IF(AND(D351="",O351=""),"",IF(O351="",IF(N351="Oui","Action à définir",IF(N351="Non","Sans action","")),IF(R351="Annulée","Annulée",IF(R351="Réalisée",IF(X351="","À réévaluer","Réalisée"),IF(N(Q351)=0,"Échéance manquante",IF(Q351&lt;p_today,"En retard",IF(Q351-p_today&lt;=p_alert,"Échéance proche","Dans les délais")))))))</f>
        <v/>
      </c>
      <c r="AB351" s="58" t="str">
        <f>IF(AND(A351="",B351="",D351="",F351="",H351="",K351="",O351=""),"",IF(D351="","Mode de défaillance manquant",IF(AND(A351&lt;&gt;"",COUNTIF(am_num,A351)&gt;1),"N° en double",IF(F351="","Gravité G manquante",IF(NOT(IF(ISNUMBER(F351),AND(F351&gt;=1,F351&lt;=10,F351=INT(F351)),FALSE)),"G : entier de 1 à 10",IF(H351="","Occurrence O manquante",IF(NOT(IF(ISNUMBER(H351),AND(H351&gt;=1,H351&lt;=10,H351=INT(H351)),FALSE)),"O : entier de 1 à 10",IF(K351="","Détection D manquante",IF(NOT(IF(ISNUMBER(K351),AND(K351&gt;=1,K351&lt;=10,K351=INT(K351)),FALSE)),"D : entier de 1 à 10",IF(G351="","Cause manquante",IF(AND(O351&lt;&gt;"",P351=""),"Responsable manquant",IF(AND(R351&lt;&gt;"",O351=""),"Statut sans action",IF(AND(R351="Réalisée",N(S351)=0),"Date de réalisation manquante",IF(AND(T351&lt;&gt;"",IF(ISNUMBER(T351),T351&lt;0,TRUE)),"Coût invalide",IF(AND(COUNTBLANK(U351:W351)&gt;0,COUNTBLANK(U351:W351)&lt;3),"Cotation après action incomplète",IF(AND(COUNTBLANK(U351:W351)=0,X351=""),"G', O', D' : entiers de 1 à 10",IF(AND(X351&lt;&gt;"",X351&gt;L351),"IPR après action plus élevé","OK")))))))))))))))))</f>
        <v/>
      </c>
      <c r="AC351" s="59" t="str">
        <f>IF(OR(AA351="En retard",AA351="Échéance proche",AA351="Dans les délais",AA351="Échéance manquante",AA351="Action à définir",AA351="À réévaluer"),IF(OR(plan_who="",P351=plan_who),IF(N(Q351)&gt;0,Q351,99999)*1000+ROW(),""),"")</f>
        <v/>
      </c>
      <c r="AD351" s="59" t="str">
        <f>IF(L351="","",L351*1000+1000-ROW())</f>
        <v/>
      </c>
      <c r="AE351" s="59" t="str">
        <f>IF(IF(AA351="En retard",1,IF(AA351="Action à définir",2,IF(AA351="Échéance manquante",3,IF(AA351="Échéance proche",4,IF(AA351="À réévaluer",5,0)))))=0,"",IF(AA351="En retard",1,IF(AA351="Action à définir",2,IF(AA351="Échéance manquante",3,IF(AA351="Échéance proche",4,IF(AA351="À réévaluer",5,0)))))*100000000+IF(N(Q351)&gt;0,Q351,99999)*1000+ROW())</f>
        <v/>
      </c>
      <c r="AF351" s="59" t="str">
        <f>IF(X351&lt;&gt;"",X351,L351)</f>
        <v/>
      </c>
      <c r="AG351" s="59" t="str">
        <f>IF(X351&lt;&gt;"",Y351,IF(L351&lt;&gt;"",M351,""))</f>
        <v/>
      </c>
      <c r="AH351" s="59" t="str">
        <f>IF(L351="","",IF(X351&lt;&gt;"",U351,F351))</f>
        <v/>
      </c>
      <c r="AI351" s="59" t="str">
        <f>IF(L351="","",IF(X351&lt;&gt;"",V351,H351))</f>
        <v/>
      </c>
    </row>
    <row r="352" ht="30" customHeight="1">
      <c r="A352" s="50" t="n"/>
      <c r="B352" s="51" t="n"/>
      <c r="C352" s="51" t="n"/>
      <c r="D352" s="51" t="n"/>
      <c r="E352" s="51" t="n"/>
      <c r="F352" s="52" t="n"/>
      <c r="G352" s="51" t="n"/>
      <c r="H352" s="52" t="n"/>
      <c r="I352" s="51" t="n"/>
      <c r="J352" s="51" t="n"/>
      <c r="K352" s="52" t="n"/>
      <c r="L352" s="53" t="str">
        <f>IF(AND(IF(ISNUMBER(F352),AND(F352&gt;=1,F352&lt;=10,F352=INT(F352)),FALSE),IF(ISNUMBER(H352),AND(H352&gt;=1,H352&lt;=10,H352=INT(H352)),FALSE),IF(ISNUMBER(K352),AND(K352&gt;=1,K352&lt;=10,K352=INT(K352)),FALSE)),F352*H352*K352,"")</f>
        <v/>
      </c>
      <c r="M352" s="54" t="str">
        <f>IF(L352="",IF(D352="","","À coter"),IF(OR(F352&gt;=p_gmin,L352&gt;=p_ipr_crit),"Critique",IF(L352&gt;=p_ipr_act,"Élevée",IF(L352&gt;=p_ipr_watch,"Moyenne","Faible"))))</f>
        <v/>
      </c>
      <c r="N352" s="54" t="str">
        <f>IF(OR(M352="",M352="À coter"),"",IF(OR(M352="Critique",M352="Élevée"),"Oui","Non"))</f>
        <v/>
      </c>
      <c r="O352" s="51" t="n"/>
      <c r="P352" s="51" t="n"/>
      <c r="Q352" s="55" t="n"/>
      <c r="R352" s="50" t="n"/>
      <c r="S352" s="55" t="n"/>
      <c r="T352" s="56" t="n"/>
      <c r="U352" s="52" t="n"/>
      <c r="V352" s="52" t="n"/>
      <c r="W352" s="52" t="n"/>
      <c r="X352" s="53" t="str">
        <f>IF(AND(L352&lt;&gt;"",IF(ISNUMBER(U352),AND(U352&gt;=1,U352&lt;=10,U352=INT(U352)),FALSE),IF(ISNUMBER(V352),AND(V352&gt;=1,V352&lt;=10,V352=INT(V352)),FALSE),IF(ISNUMBER(W352),AND(W352&gt;=1,W352&lt;=10,W352=INT(W352)),FALSE)),U352*V352*W352,"")</f>
        <v/>
      </c>
      <c r="Y352" s="54" t="str">
        <f>IF(X352="","",IF(OR(U352&gt;=p_gmin,X352&gt;=p_ipr_crit),"Critique",IF(X352&gt;=p_ipr_act,"Élevée",IF(X352&gt;=p_ipr_watch,"Moyenne","Faible"))))</f>
        <v/>
      </c>
      <c r="Z352" s="57" t="str">
        <f>IF(X352="","",(L352-X352)/L352)</f>
        <v/>
      </c>
      <c r="AA352" s="54" t="str">
        <f>IF(AND(D352="",O352=""),"",IF(O352="",IF(N352="Oui","Action à définir",IF(N352="Non","Sans action","")),IF(R352="Annulée","Annulée",IF(R352="Réalisée",IF(X352="","À réévaluer","Réalisée"),IF(N(Q352)=0,"Échéance manquante",IF(Q352&lt;p_today,"En retard",IF(Q352-p_today&lt;=p_alert,"Échéance proche","Dans les délais")))))))</f>
        <v/>
      </c>
      <c r="AB352" s="58" t="str">
        <f>IF(AND(A352="",B352="",D352="",F352="",H352="",K352="",O352=""),"",IF(D352="","Mode de défaillance manquant",IF(AND(A352&lt;&gt;"",COUNTIF(am_num,A352)&gt;1),"N° en double",IF(F352="","Gravité G manquante",IF(NOT(IF(ISNUMBER(F352),AND(F352&gt;=1,F352&lt;=10,F352=INT(F352)),FALSE)),"G : entier de 1 à 10",IF(H352="","Occurrence O manquante",IF(NOT(IF(ISNUMBER(H352),AND(H352&gt;=1,H352&lt;=10,H352=INT(H352)),FALSE)),"O : entier de 1 à 10",IF(K352="","Détection D manquante",IF(NOT(IF(ISNUMBER(K352),AND(K352&gt;=1,K352&lt;=10,K352=INT(K352)),FALSE)),"D : entier de 1 à 10",IF(G352="","Cause manquante",IF(AND(O352&lt;&gt;"",P352=""),"Responsable manquant",IF(AND(R352&lt;&gt;"",O352=""),"Statut sans action",IF(AND(R352="Réalisée",N(S352)=0),"Date de réalisation manquante",IF(AND(T352&lt;&gt;"",IF(ISNUMBER(T352),T352&lt;0,TRUE)),"Coût invalide",IF(AND(COUNTBLANK(U352:W352)&gt;0,COUNTBLANK(U352:W352)&lt;3),"Cotation après action incomplète",IF(AND(COUNTBLANK(U352:W352)=0,X352=""),"G', O', D' : entiers de 1 à 10",IF(AND(X352&lt;&gt;"",X352&gt;L352),"IPR après action plus élevé","OK")))))))))))))))))</f>
        <v/>
      </c>
      <c r="AC352" s="59" t="str">
        <f>IF(OR(AA352="En retard",AA352="Échéance proche",AA352="Dans les délais",AA352="Échéance manquante",AA352="Action à définir",AA352="À réévaluer"),IF(OR(plan_who="",P352=plan_who),IF(N(Q352)&gt;0,Q352,99999)*1000+ROW(),""),"")</f>
        <v/>
      </c>
      <c r="AD352" s="59" t="str">
        <f>IF(L352="","",L352*1000+1000-ROW())</f>
        <v/>
      </c>
      <c r="AE352" s="59" t="str">
        <f>IF(IF(AA352="En retard",1,IF(AA352="Action à définir",2,IF(AA352="Échéance manquante",3,IF(AA352="Échéance proche",4,IF(AA352="À réévaluer",5,0)))))=0,"",IF(AA352="En retard",1,IF(AA352="Action à définir",2,IF(AA352="Échéance manquante",3,IF(AA352="Échéance proche",4,IF(AA352="À réévaluer",5,0)))))*100000000+IF(N(Q352)&gt;0,Q352,99999)*1000+ROW())</f>
        <v/>
      </c>
      <c r="AF352" s="59" t="str">
        <f>IF(X352&lt;&gt;"",X352,L352)</f>
        <v/>
      </c>
      <c r="AG352" s="59" t="str">
        <f>IF(X352&lt;&gt;"",Y352,IF(L352&lt;&gt;"",M352,""))</f>
        <v/>
      </c>
      <c r="AH352" s="59" t="str">
        <f>IF(L352="","",IF(X352&lt;&gt;"",U352,F352))</f>
        <v/>
      </c>
      <c r="AI352" s="59" t="str">
        <f>IF(L352="","",IF(X352&lt;&gt;"",V352,H352))</f>
        <v/>
      </c>
    </row>
    <row r="353" ht="30" customHeight="1">
      <c r="A353" s="50" t="n"/>
      <c r="B353" s="51" t="n"/>
      <c r="C353" s="51" t="n"/>
      <c r="D353" s="51" t="n"/>
      <c r="E353" s="51" t="n"/>
      <c r="F353" s="52" t="n"/>
      <c r="G353" s="51" t="n"/>
      <c r="H353" s="52" t="n"/>
      <c r="I353" s="51" t="n"/>
      <c r="J353" s="51" t="n"/>
      <c r="K353" s="52" t="n"/>
      <c r="L353" s="53" t="str">
        <f>IF(AND(IF(ISNUMBER(F353),AND(F353&gt;=1,F353&lt;=10,F353=INT(F353)),FALSE),IF(ISNUMBER(H353),AND(H353&gt;=1,H353&lt;=10,H353=INT(H353)),FALSE),IF(ISNUMBER(K353),AND(K353&gt;=1,K353&lt;=10,K353=INT(K353)),FALSE)),F353*H353*K353,"")</f>
        <v/>
      </c>
      <c r="M353" s="54" t="str">
        <f>IF(L353="",IF(D353="","","À coter"),IF(OR(F353&gt;=p_gmin,L353&gt;=p_ipr_crit),"Critique",IF(L353&gt;=p_ipr_act,"Élevée",IF(L353&gt;=p_ipr_watch,"Moyenne","Faible"))))</f>
        <v/>
      </c>
      <c r="N353" s="54" t="str">
        <f>IF(OR(M353="",M353="À coter"),"",IF(OR(M353="Critique",M353="Élevée"),"Oui","Non"))</f>
        <v/>
      </c>
      <c r="O353" s="51" t="n"/>
      <c r="P353" s="51" t="n"/>
      <c r="Q353" s="55" t="n"/>
      <c r="R353" s="50" t="n"/>
      <c r="S353" s="55" t="n"/>
      <c r="T353" s="56" t="n"/>
      <c r="U353" s="52" t="n"/>
      <c r="V353" s="52" t="n"/>
      <c r="W353" s="52" t="n"/>
      <c r="X353" s="53" t="str">
        <f>IF(AND(L353&lt;&gt;"",IF(ISNUMBER(U353),AND(U353&gt;=1,U353&lt;=10,U353=INT(U353)),FALSE),IF(ISNUMBER(V353),AND(V353&gt;=1,V353&lt;=10,V353=INT(V353)),FALSE),IF(ISNUMBER(W353),AND(W353&gt;=1,W353&lt;=10,W353=INT(W353)),FALSE)),U353*V353*W353,"")</f>
        <v/>
      </c>
      <c r="Y353" s="54" t="str">
        <f>IF(X353="","",IF(OR(U353&gt;=p_gmin,X353&gt;=p_ipr_crit),"Critique",IF(X353&gt;=p_ipr_act,"Élevée",IF(X353&gt;=p_ipr_watch,"Moyenne","Faible"))))</f>
        <v/>
      </c>
      <c r="Z353" s="57" t="str">
        <f>IF(X353="","",(L353-X353)/L353)</f>
        <v/>
      </c>
      <c r="AA353" s="54" t="str">
        <f>IF(AND(D353="",O353=""),"",IF(O353="",IF(N353="Oui","Action à définir",IF(N353="Non","Sans action","")),IF(R353="Annulée","Annulée",IF(R353="Réalisée",IF(X353="","À réévaluer","Réalisée"),IF(N(Q353)=0,"Échéance manquante",IF(Q353&lt;p_today,"En retard",IF(Q353-p_today&lt;=p_alert,"Échéance proche","Dans les délais")))))))</f>
        <v/>
      </c>
      <c r="AB353" s="58" t="str">
        <f>IF(AND(A353="",B353="",D353="",F353="",H353="",K353="",O353=""),"",IF(D353="","Mode de défaillance manquant",IF(AND(A353&lt;&gt;"",COUNTIF(am_num,A353)&gt;1),"N° en double",IF(F353="","Gravité G manquante",IF(NOT(IF(ISNUMBER(F353),AND(F353&gt;=1,F353&lt;=10,F353=INT(F353)),FALSE)),"G : entier de 1 à 10",IF(H353="","Occurrence O manquante",IF(NOT(IF(ISNUMBER(H353),AND(H353&gt;=1,H353&lt;=10,H353=INT(H353)),FALSE)),"O : entier de 1 à 10",IF(K353="","Détection D manquante",IF(NOT(IF(ISNUMBER(K353),AND(K353&gt;=1,K353&lt;=10,K353=INT(K353)),FALSE)),"D : entier de 1 à 10",IF(G353="","Cause manquante",IF(AND(O353&lt;&gt;"",P353=""),"Responsable manquant",IF(AND(R353&lt;&gt;"",O353=""),"Statut sans action",IF(AND(R353="Réalisée",N(S353)=0),"Date de réalisation manquante",IF(AND(T353&lt;&gt;"",IF(ISNUMBER(T353),T353&lt;0,TRUE)),"Coût invalide",IF(AND(COUNTBLANK(U353:W353)&gt;0,COUNTBLANK(U353:W353)&lt;3),"Cotation après action incomplète",IF(AND(COUNTBLANK(U353:W353)=0,X353=""),"G', O', D' : entiers de 1 à 10",IF(AND(X353&lt;&gt;"",X353&gt;L353),"IPR après action plus élevé","OK")))))))))))))))))</f>
        <v/>
      </c>
      <c r="AC353" s="59" t="str">
        <f>IF(OR(AA353="En retard",AA353="Échéance proche",AA353="Dans les délais",AA353="Échéance manquante",AA353="Action à définir",AA353="À réévaluer"),IF(OR(plan_who="",P353=plan_who),IF(N(Q353)&gt;0,Q353,99999)*1000+ROW(),""),"")</f>
        <v/>
      </c>
      <c r="AD353" s="59" t="str">
        <f>IF(L353="","",L353*1000+1000-ROW())</f>
        <v/>
      </c>
      <c r="AE353" s="59" t="str">
        <f>IF(IF(AA353="En retard",1,IF(AA353="Action à définir",2,IF(AA353="Échéance manquante",3,IF(AA353="Échéance proche",4,IF(AA353="À réévaluer",5,0)))))=0,"",IF(AA353="En retard",1,IF(AA353="Action à définir",2,IF(AA353="Échéance manquante",3,IF(AA353="Échéance proche",4,IF(AA353="À réévaluer",5,0)))))*100000000+IF(N(Q353)&gt;0,Q353,99999)*1000+ROW())</f>
        <v/>
      </c>
      <c r="AF353" s="59" t="str">
        <f>IF(X353&lt;&gt;"",X353,L353)</f>
        <v/>
      </c>
      <c r="AG353" s="59" t="str">
        <f>IF(X353&lt;&gt;"",Y353,IF(L353&lt;&gt;"",M353,""))</f>
        <v/>
      </c>
      <c r="AH353" s="59" t="str">
        <f>IF(L353="","",IF(X353&lt;&gt;"",U353,F353))</f>
        <v/>
      </c>
      <c r="AI353" s="59" t="str">
        <f>IF(L353="","",IF(X353&lt;&gt;"",V353,H353))</f>
        <v/>
      </c>
    </row>
    <row r="354" ht="30" customHeight="1">
      <c r="A354" s="50" t="n"/>
      <c r="B354" s="51" t="n"/>
      <c r="C354" s="51" t="n"/>
      <c r="D354" s="51" t="n"/>
      <c r="E354" s="51" t="n"/>
      <c r="F354" s="52" t="n"/>
      <c r="G354" s="51" t="n"/>
      <c r="H354" s="52" t="n"/>
      <c r="I354" s="51" t="n"/>
      <c r="J354" s="51" t="n"/>
      <c r="K354" s="52" t="n"/>
      <c r="L354" s="53" t="str">
        <f>IF(AND(IF(ISNUMBER(F354),AND(F354&gt;=1,F354&lt;=10,F354=INT(F354)),FALSE),IF(ISNUMBER(H354),AND(H354&gt;=1,H354&lt;=10,H354=INT(H354)),FALSE),IF(ISNUMBER(K354),AND(K354&gt;=1,K354&lt;=10,K354=INT(K354)),FALSE)),F354*H354*K354,"")</f>
        <v/>
      </c>
      <c r="M354" s="54" t="str">
        <f>IF(L354="",IF(D354="","","À coter"),IF(OR(F354&gt;=p_gmin,L354&gt;=p_ipr_crit),"Critique",IF(L354&gt;=p_ipr_act,"Élevée",IF(L354&gt;=p_ipr_watch,"Moyenne","Faible"))))</f>
        <v/>
      </c>
      <c r="N354" s="54" t="str">
        <f>IF(OR(M354="",M354="À coter"),"",IF(OR(M354="Critique",M354="Élevée"),"Oui","Non"))</f>
        <v/>
      </c>
      <c r="O354" s="51" t="n"/>
      <c r="P354" s="51" t="n"/>
      <c r="Q354" s="55" t="n"/>
      <c r="R354" s="50" t="n"/>
      <c r="S354" s="55" t="n"/>
      <c r="T354" s="56" t="n"/>
      <c r="U354" s="52" t="n"/>
      <c r="V354" s="52" t="n"/>
      <c r="W354" s="52" t="n"/>
      <c r="X354" s="53" t="str">
        <f>IF(AND(L354&lt;&gt;"",IF(ISNUMBER(U354),AND(U354&gt;=1,U354&lt;=10,U354=INT(U354)),FALSE),IF(ISNUMBER(V354),AND(V354&gt;=1,V354&lt;=10,V354=INT(V354)),FALSE),IF(ISNUMBER(W354),AND(W354&gt;=1,W354&lt;=10,W354=INT(W354)),FALSE)),U354*V354*W354,"")</f>
        <v/>
      </c>
      <c r="Y354" s="54" t="str">
        <f>IF(X354="","",IF(OR(U354&gt;=p_gmin,X354&gt;=p_ipr_crit),"Critique",IF(X354&gt;=p_ipr_act,"Élevée",IF(X354&gt;=p_ipr_watch,"Moyenne","Faible"))))</f>
        <v/>
      </c>
      <c r="Z354" s="57" t="str">
        <f>IF(X354="","",(L354-X354)/L354)</f>
        <v/>
      </c>
      <c r="AA354" s="54" t="str">
        <f>IF(AND(D354="",O354=""),"",IF(O354="",IF(N354="Oui","Action à définir",IF(N354="Non","Sans action","")),IF(R354="Annulée","Annulée",IF(R354="Réalisée",IF(X354="","À réévaluer","Réalisée"),IF(N(Q354)=0,"Échéance manquante",IF(Q354&lt;p_today,"En retard",IF(Q354-p_today&lt;=p_alert,"Échéance proche","Dans les délais")))))))</f>
        <v/>
      </c>
      <c r="AB354" s="58" t="str">
        <f>IF(AND(A354="",B354="",D354="",F354="",H354="",K354="",O354=""),"",IF(D354="","Mode de défaillance manquant",IF(AND(A354&lt;&gt;"",COUNTIF(am_num,A354)&gt;1),"N° en double",IF(F354="","Gravité G manquante",IF(NOT(IF(ISNUMBER(F354),AND(F354&gt;=1,F354&lt;=10,F354=INT(F354)),FALSE)),"G : entier de 1 à 10",IF(H354="","Occurrence O manquante",IF(NOT(IF(ISNUMBER(H354),AND(H354&gt;=1,H354&lt;=10,H354=INT(H354)),FALSE)),"O : entier de 1 à 10",IF(K354="","Détection D manquante",IF(NOT(IF(ISNUMBER(K354),AND(K354&gt;=1,K354&lt;=10,K354=INT(K354)),FALSE)),"D : entier de 1 à 10",IF(G354="","Cause manquante",IF(AND(O354&lt;&gt;"",P354=""),"Responsable manquant",IF(AND(R354&lt;&gt;"",O354=""),"Statut sans action",IF(AND(R354="Réalisée",N(S354)=0),"Date de réalisation manquante",IF(AND(T354&lt;&gt;"",IF(ISNUMBER(T354),T354&lt;0,TRUE)),"Coût invalide",IF(AND(COUNTBLANK(U354:W354)&gt;0,COUNTBLANK(U354:W354)&lt;3),"Cotation après action incomplète",IF(AND(COUNTBLANK(U354:W354)=0,X354=""),"G', O', D' : entiers de 1 à 10",IF(AND(X354&lt;&gt;"",X354&gt;L354),"IPR après action plus élevé","OK")))))))))))))))))</f>
        <v/>
      </c>
      <c r="AC354" s="59" t="str">
        <f>IF(OR(AA354="En retard",AA354="Échéance proche",AA354="Dans les délais",AA354="Échéance manquante",AA354="Action à définir",AA354="À réévaluer"),IF(OR(plan_who="",P354=plan_who),IF(N(Q354)&gt;0,Q354,99999)*1000+ROW(),""),"")</f>
        <v/>
      </c>
      <c r="AD354" s="59" t="str">
        <f>IF(L354="","",L354*1000+1000-ROW())</f>
        <v/>
      </c>
      <c r="AE354" s="59" t="str">
        <f>IF(IF(AA354="En retard",1,IF(AA354="Action à définir",2,IF(AA354="Échéance manquante",3,IF(AA354="Échéance proche",4,IF(AA354="À réévaluer",5,0)))))=0,"",IF(AA354="En retard",1,IF(AA354="Action à définir",2,IF(AA354="Échéance manquante",3,IF(AA354="Échéance proche",4,IF(AA354="À réévaluer",5,0)))))*100000000+IF(N(Q354)&gt;0,Q354,99999)*1000+ROW())</f>
        <v/>
      </c>
      <c r="AF354" s="59" t="str">
        <f>IF(X354&lt;&gt;"",X354,L354)</f>
        <v/>
      </c>
      <c r="AG354" s="59" t="str">
        <f>IF(X354&lt;&gt;"",Y354,IF(L354&lt;&gt;"",M354,""))</f>
        <v/>
      </c>
      <c r="AH354" s="59" t="str">
        <f>IF(L354="","",IF(X354&lt;&gt;"",U354,F354))</f>
        <v/>
      </c>
      <c r="AI354" s="59" t="str">
        <f>IF(L354="","",IF(X354&lt;&gt;"",V354,H354))</f>
        <v/>
      </c>
    </row>
    <row r="355" ht="30" customHeight="1">
      <c r="A355" s="50" t="n"/>
      <c r="B355" s="51" t="n"/>
      <c r="C355" s="51" t="n"/>
      <c r="D355" s="51" t="n"/>
      <c r="E355" s="51" t="n"/>
      <c r="F355" s="52" t="n"/>
      <c r="G355" s="51" t="n"/>
      <c r="H355" s="52" t="n"/>
      <c r="I355" s="51" t="n"/>
      <c r="J355" s="51" t="n"/>
      <c r="K355" s="52" t="n"/>
      <c r="L355" s="53" t="str">
        <f>IF(AND(IF(ISNUMBER(F355),AND(F355&gt;=1,F355&lt;=10,F355=INT(F355)),FALSE),IF(ISNUMBER(H355),AND(H355&gt;=1,H355&lt;=10,H355=INT(H355)),FALSE),IF(ISNUMBER(K355),AND(K355&gt;=1,K355&lt;=10,K355=INT(K355)),FALSE)),F355*H355*K355,"")</f>
        <v/>
      </c>
      <c r="M355" s="54" t="str">
        <f>IF(L355="",IF(D355="","","À coter"),IF(OR(F355&gt;=p_gmin,L355&gt;=p_ipr_crit),"Critique",IF(L355&gt;=p_ipr_act,"Élevée",IF(L355&gt;=p_ipr_watch,"Moyenne","Faible"))))</f>
        <v/>
      </c>
      <c r="N355" s="54" t="str">
        <f>IF(OR(M355="",M355="À coter"),"",IF(OR(M355="Critique",M355="Élevée"),"Oui","Non"))</f>
        <v/>
      </c>
      <c r="O355" s="51" t="n"/>
      <c r="P355" s="51" t="n"/>
      <c r="Q355" s="55" t="n"/>
      <c r="R355" s="50" t="n"/>
      <c r="S355" s="55" t="n"/>
      <c r="T355" s="56" t="n"/>
      <c r="U355" s="52" t="n"/>
      <c r="V355" s="52" t="n"/>
      <c r="W355" s="52" t="n"/>
      <c r="X355" s="53" t="str">
        <f>IF(AND(L355&lt;&gt;"",IF(ISNUMBER(U355),AND(U355&gt;=1,U355&lt;=10,U355=INT(U355)),FALSE),IF(ISNUMBER(V355),AND(V355&gt;=1,V355&lt;=10,V355=INT(V355)),FALSE),IF(ISNUMBER(W355),AND(W355&gt;=1,W355&lt;=10,W355=INT(W355)),FALSE)),U355*V355*W355,"")</f>
        <v/>
      </c>
      <c r="Y355" s="54" t="str">
        <f>IF(X355="","",IF(OR(U355&gt;=p_gmin,X355&gt;=p_ipr_crit),"Critique",IF(X355&gt;=p_ipr_act,"Élevée",IF(X355&gt;=p_ipr_watch,"Moyenne","Faible"))))</f>
        <v/>
      </c>
      <c r="Z355" s="57" t="str">
        <f>IF(X355="","",(L355-X355)/L355)</f>
        <v/>
      </c>
      <c r="AA355" s="54" t="str">
        <f>IF(AND(D355="",O355=""),"",IF(O355="",IF(N355="Oui","Action à définir",IF(N355="Non","Sans action","")),IF(R355="Annulée","Annulée",IF(R355="Réalisée",IF(X355="","À réévaluer","Réalisée"),IF(N(Q355)=0,"Échéance manquante",IF(Q355&lt;p_today,"En retard",IF(Q355-p_today&lt;=p_alert,"Échéance proche","Dans les délais")))))))</f>
        <v/>
      </c>
      <c r="AB355" s="58" t="str">
        <f>IF(AND(A355="",B355="",D355="",F355="",H355="",K355="",O355=""),"",IF(D355="","Mode de défaillance manquant",IF(AND(A355&lt;&gt;"",COUNTIF(am_num,A355)&gt;1),"N° en double",IF(F355="","Gravité G manquante",IF(NOT(IF(ISNUMBER(F355),AND(F355&gt;=1,F355&lt;=10,F355=INT(F355)),FALSE)),"G : entier de 1 à 10",IF(H355="","Occurrence O manquante",IF(NOT(IF(ISNUMBER(H355),AND(H355&gt;=1,H355&lt;=10,H355=INT(H355)),FALSE)),"O : entier de 1 à 10",IF(K355="","Détection D manquante",IF(NOT(IF(ISNUMBER(K355),AND(K355&gt;=1,K355&lt;=10,K355=INT(K355)),FALSE)),"D : entier de 1 à 10",IF(G355="","Cause manquante",IF(AND(O355&lt;&gt;"",P355=""),"Responsable manquant",IF(AND(R355&lt;&gt;"",O355=""),"Statut sans action",IF(AND(R355="Réalisée",N(S355)=0),"Date de réalisation manquante",IF(AND(T355&lt;&gt;"",IF(ISNUMBER(T355),T355&lt;0,TRUE)),"Coût invalide",IF(AND(COUNTBLANK(U355:W355)&gt;0,COUNTBLANK(U355:W355)&lt;3),"Cotation après action incomplète",IF(AND(COUNTBLANK(U355:W355)=0,X355=""),"G', O', D' : entiers de 1 à 10",IF(AND(X355&lt;&gt;"",X355&gt;L355),"IPR après action plus élevé","OK")))))))))))))))))</f>
        <v/>
      </c>
      <c r="AC355" s="59" t="str">
        <f>IF(OR(AA355="En retard",AA355="Échéance proche",AA355="Dans les délais",AA355="Échéance manquante",AA355="Action à définir",AA355="À réévaluer"),IF(OR(plan_who="",P355=plan_who),IF(N(Q355)&gt;0,Q355,99999)*1000+ROW(),""),"")</f>
        <v/>
      </c>
      <c r="AD355" s="59" t="str">
        <f>IF(L355="","",L355*1000+1000-ROW())</f>
        <v/>
      </c>
      <c r="AE355" s="59" t="str">
        <f>IF(IF(AA355="En retard",1,IF(AA355="Action à définir",2,IF(AA355="Échéance manquante",3,IF(AA355="Échéance proche",4,IF(AA355="À réévaluer",5,0)))))=0,"",IF(AA355="En retard",1,IF(AA355="Action à définir",2,IF(AA355="Échéance manquante",3,IF(AA355="Échéance proche",4,IF(AA355="À réévaluer",5,0)))))*100000000+IF(N(Q355)&gt;0,Q355,99999)*1000+ROW())</f>
        <v/>
      </c>
      <c r="AF355" s="59" t="str">
        <f>IF(X355&lt;&gt;"",X355,L355)</f>
        <v/>
      </c>
      <c r="AG355" s="59" t="str">
        <f>IF(X355&lt;&gt;"",Y355,IF(L355&lt;&gt;"",M355,""))</f>
        <v/>
      </c>
      <c r="AH355" s="59" t="str">
        <f>IF(L355="","",IF(X355&lt;&gt;"",U355,F355))</f>
        <v/>
      </c>
      <c r="AI355" s="59" t="str">
        <f>IF(L355="","",IF(X355&lt;&gt;"",V355,H355))</f>
        <v/>
      </c>
    </row>
    <row r="356" ht="30" customHeight="1">
      <c r="A356" s="50" t="n"/>
      <c r="B356" s="51" t="n"/>
      <c r="C356" s="51" t="n"/>
      <c r="D356" s="51" t="n"/>
      <c r="E356" s="51" t="n"/>
      <c r="F356" s="52" t="n"/>
      <c r="G356" s="51" t="n"/>
      <c r="H356" s="52" t="n"/>
      <c r="I356" s="51" t="n"/>
      <c r="J356" s="51" t="n"/>
      <c r="K356" s="52" t="n"/>
      <c r="L356" s="53" t="str">
        <f>IF(AND(IF(ISNUMBER(F356),AND(F356&gt;=1,F356&lt;=10,F356=INT(F356)),FALSE),IF(ISNUMBER(H356),AND(H356&gt;=1,H356&lt;=10,H356=INT(H356)),FALSE),IF(ISNUMBER(K356),AND(K356&gt;=1,K356&lt;=10,K356=INT(K356)),FALSE)),F356*H356*K356,"")</f>
        <v/>
      </c>
      <c r="M356" s="54" t="str">
        <f>IF(L356="",IF(D356="","","À coter"),IF(OR(F356&gt;=p_gmin,L356&gt;=p_ipr_crit),"Critique",IF(L356&gt;=p_ipr_act,"Élevée",IF(L356&gt;=p_ipr_watch,"Moyenne","Faible"))))</f>
        <v/>
      </c>
      <c r="N356" s="54" t="str">
        <f>IF(OR(M356="",M356="À coter"),"",IF(OR(M356="Critique",M356="Élevée"),"Oui","Non"))</f>
        <v/>
      </c>
      <c r="O356" s="51" t="n"/>
      <c r="P356" s="51" t="n"/>
      <c r="Q356" s="55" t="n"/>
      <c r="R356" s="50" t="n"/>
      <c r="S356" s="55" t="n"/>
      <c r="T356" s="56" t="n"/>
      <c r="U356" s="52" t="n"/>
      <c r="V356" s="52" t="n"/>
      <c r="W356" s="52" t="n"/>
      <c r="X356" s="53" t="str">
        <f>IF(AND(L356&lt;&gt;"",IF(ISNUMBER(U356),AND(U356&gt;=1,U356&lt;=10,U356=INT(U356)),FALSE),IF(ISNUMBER(V356),AND(V356&gt;=1,V356&lt;=10,V356=INT(V356)),FALSE),IF(ISNUMBER(W356),AND(W356&gt;=1,W356&lt;=10,W356=INT(W356)),FALSE)),U356*V356*W356,"")</f>
        <v/>
      </c>
      <c r="Y356" s="54" t="str">
        <f>IF(X356="","",IF(OR(U356&gt;=p_gmin,X356&gt;=p_ipr_crit),"Critique",IF(X356&gt;=p_ipr_act,"Élevée",IF(X356&gt;=p_ipr_watch,"Moyenne","Faible"))))</f>
        <v/>
      </c>
      <c r="Z356" s="57" t="str">
        <f>IF(X356="","",(L356-X356)/L356)</f>
        <v/>
      </c>
      <c r="AA356" s="54" t="str">
        <f>IF(AND(D356="",O356=""),"",IF(O356="",IF(N356="Oui","Action à définir",IF(N356="Non","Sans action","")),IF(R356="Annulée","Annulée",IF(R356="Réalisée",IF(X356="","À réévaluer","Réalisée"),IF(N(Q356)=0,"Échéance manquante",IF(Q356&lt;p_today,"En retard",IF(Q356-p_today&lt;=p_alert,"Échéance proche","Dans les délais")))))))</f>
        <v/>
      </c>
      <c r="AB356" s="58" t="str">
        <f>IF(AND(A356="",B356="",D356="",F356="",H356="",K356="",O356=""),"",IF(D356="","Mode de défaillance manquant",IF(AND(A356&lt;&gt;"",COUNTIF(am_num,A356)&gt;1),"N° en double",IF(F356="","Gravité G manquante",IF(NOT(IF(ISNUMBER(F356),AND(F356&gt;=1,F356&lt;=10,F356=INT(F356)),FALSE)),"G : entier de 1 à 10",IF(H356="","Occurrence O manquante",IF(NOT(IF(ISNUMBER(H356),AND(H356&gt;=1,H356&lt;=10,H356=INT(H356)),FALSE)),"O : entier de 1 à 10",IF(K356="","Détection D manquante",IF(NOT(IF(ISNUMBER(K356),AND(K356&gt;=1,K356&lt;=10,K356=INT(K356)),FALSE)),"D : entier de 1 à 10",IF(G356="","Cause manquante",IF(AND(O356&lt;&gt;"",P356=""),"Responsable manquant",IF(AND(R356&lt;&gt;"",O356=""),"Statut sans action",IF(AND(R356="Réalisée",N(S356)=0),"Date de réalisation manquante",IF(AND(T356&lt;&gt;"",IF(ISNUMBER(T356),T356&lt;0,TRUE)),"Coût invalide",IF(AND(COUNTBLANK(U356:W356)&gt;0,COUNTBLANK(U356:W356)&lt;3),"Cotation après action incomplète",IF(AND(COUNTBLANK(U356:W356)=0,X356=""),"G', O', D' : entiers de 1 à 10",IF(AND(X356&lt;&gt;"",X356&gt;L356),"IPR après action plus élevé","OK")))))))))))))))))</f>
        <v/>
      </c>
      <c r="AC356" s="59" t="str">
        <f>IF(OR(AA356="En retard",AA356="Échéance proche",AA356="Dans les délais",AA356="Échéance manquante",AA356="Action à définir",AA356="À réévaluer"),IF(OR(plan_who="",P356=plan_who),IF(N(Q356)&gt;0,Q356,99999)*1000+ROW(),""),"")</f>
        <v/>
      </c>
      <c r="AD356" s="59" t="str">
        <f>IF(L356="","",L356*1000+1000-ROW())</f>
        <v/>
      </c>
      <c r="AE356" s="59" t="str">
        <f>IF(IF(AA356="En retard",1,IF(AA356="Action à définir",2,IF(AA356="Échéance manquante",3,IF(AA356="Échéance proche",4,IF(AA356="À réévaluer",5,0)))))=0,"",IF(AA356="En retard",1,IF(AA356="Action à définir",2,IF(AA356="Échéance manquante",3,IF(AA356="Échéance proche",4,IF(AA356="À réévaluer",5,0)))))*100000000+IF(N(Q356)&gt;0,Q356,99999)*1000+ROW())</f>
        <v/>
      </c>
      <c r="AF356" s="59" t="str">
        <f>IF(X356&lt;&gt;"",X356,L356)</f>
        <v/>
      </c>
      <c r="AG356" s="59" t="str">
        <f>IF(X356&lt;&gt;"",Y356,IF(L356&lt;&gt;"",M356,""))</f>
        <v/>
      </c>
      <c r="AH356" s="59" t="str">
        <f>IF(L356="","",IF(X356&lt;&gt;"",U356,F356))</f>
        <v/>
      </c>
      <c r="AI356" s="59" t="str">
        <f>IF(L356="","",IF(X356&lt;&gt;"",V356,H356))</f>
        <v/>
      </c>
    </row>
    <row r="357" ht="30" customHeight="1">
      <c r="A357" s="50" t="n"/>
      <c r="B357" s="51" t="n"/>
      <c r="C357" s="51" t="n"/>
      <c r="D357" s="51" t="n"/>
      <c r="E357" s="51" t="n"/>
      <c r="F357" s="52" t="n"/>
      <c r="G357" s="51" t="n"/>
      <c r="H357" s="52" t="n"/>
      <c r="I357" s="51" t="n"/>
      <c r="J357" s="51" t="n"/>
      <c r="K357" s="52" t="n"/>
      <c r="L357" s="53" t="str">
        <f>IF(AND(IF(ISNUMBER(F357),AND(F357&gt;=1,F357&lt;=10,F357=INT(F357)),FALSE),IF(ISNUMBER(H357),AND(H357&gt;=1,H357&lt;=10,H357=INT(H357)),FALSE),IF(ISNUMBER(K357),AND(K357&gt;=1,K357&lt;=10,K357=INT(K357)),FALSE)),F357*H357*K357,"")</f>
        <v/>
      </c>
      <c r="M357" s="54" t="str">
        <f>IF(L357="",IF(D357="","","À coter"),IF(OR(F357&gt;=p_gmin,L357&gt;=p_ipr_crit),"Critique",IF(L357&gt;=p_ipr_act,"Élevée",IF(L357&gt;=p_ipr_watch,"Moyenne","Faible"))))</f>
        <v/>
      </c>
      <c r="N357" s="54" t="str">
        <f>IF(OR(M357="",M357="À coter"),"",IF(OR(M357="Critique",M357="Élevée"),"Oui","Non"))</f>
        <v/>
      </c>
      <c r="O357" s="51" t="n"/>
      <c r="P357" s="51" t="n"/>
      <c r="Q357" s="55" t="n"/>
      <c r="R357" s="50" t="n"/>
      <c r="S357" s="55" t="n"/>
      <c r="T357" s="56" t="n"/>
      <c r="U357" s="52" t="n"/>
      <c r="V357" s="52" t="n"/>
      <c r="W357" s="52" t="n"/>
      <c r="X357" s="53" t="str">
        <f>IF(AND(L357&lt;&gt;"",IF(ISNUMBER(U357),AND(U357&gt;=1,U357&lt;=10,U357=INT(U357)),FALSE),IF(ISNUMBER(V357),AND(V357&gt;=1,V357&lt;=10,V357=INT(V357)),FALSE),IF(ISNUMBER(W357),AND(W357&gt;=1,W357&lt;=10,W357=INT(W357)),FALSE)),U357*V357*W357,"")</f>
        <v/>
      </c>
      <c r="Y357" s="54" t="str">
        <f>IF(X357="","",IF(OR(U357&gt;=p_gmin,X357&gt;=p_ipr_crit),"Critique",IF(X357&gt;=p_ipr_act,"Élevée",IF(X357&gt;=p_ipr_watch,"Moyenne","Faible"))))</f>
        <v/>
      </c>
      <c r="Z357" s="57" t="str">
        <f>IF(X357="","",(L357-X357)/L357)</f>
        <v/>
      </c>
      <c r="AA357" s="54" t="str">
        <f>IF(AND(D357="",O357=""),"",IF(O357="",IF(N357="Oui","Action à définir",IF(N357="Non","Sans action","")),IF(R357="Annulée","Annulée",IF(R357="Réalisée",IF(X357="","À réévaluer","Réalisée"),IF(N(Q357)=0,"Échéance manquante",IF(Q357&lt;p_today,"En retard",IF(Q357-p_today&lt;=p_alert,"Échéance proche","Dans les délais")))))))</f>
        <v/>
      </c>
      <c r="AB357" s="58" t="str">
        <f>IF(AND(A357="",B357="",D357="",F357="",H357="",K357="",O357=""),"",IF(D357="","Mode de défaillance manquant",IF(AND(A357&lt;&gt;"",COUNTIF(am_num,A357)&gt;1),"N° en double",IF(F357="","Gravité G manquante",IF(NOT(IF(ISNUMBER(F357),AND(F357&gt;=1,F357&lt;=10,F357=INT(F357)),FALSE)),"G : entier de 1 à 10",IF(H357="","Occurrence O manquante",IF(NOT(IF(ISNUMBER(H357),AND(H357&gt;=1,H357&lt;=10,H357=INT(H357)),FALSE)),"O : entier de 1 à 10",IF(K357="","Détection D manquante",IF(NOT(IF(ISNUMBER(K357),AND(K357&gt;=1,K357&lt;=10,K357=INT(K357)),FALSE)),"D : entier de 1 à 10",IF(G357="","Cause manquante",IF(AND(O357&lt;&gt;"",P357=""),"Responsable manquant",IF(AND(R357&lt;&gt;"",O357=""),"Statut sans action",IF(AND(R357="Réalisée",N(S357)=0),"Date de réalisation manquante",IF(AND(T357&lt;&gt;"",IF(ISNUMBER(T357),T357&lt;0,TRUE)),"Coût invalide",IF(AND(COUNTBLANK(U357:W357)&gt;0,COUNTBLANK(U357:W357)&lt;3),"Cotation après action incomplète",IF(AND(COUNTBLANK(U357:W357)=0,X357=""),"G', O', D' : entiers de 1 à 10",IF(AND(X357&lt;&gt;"",X357&gt;L357),"IPR après action plus élevé","OK")))))))))))))))))</f>
        <v/>
      </c>
      <c r="AC357" s="59" t="str">
        <f>IF(OR(AA357="En retard",AA357="Échéance proche",AA357="Dans les délais",AA357="Échéance manquante",AA357="Action à définir",AA357="À réévaluer"),IF(OR(plan_who="",P357=plan_who),IF(N(Q357)&gt;0,Q357,99999)*1000+ROW(),""),"")</f>
        <v/>
      </c>
      <c r="AD357" s="59" t="str">
        <f>IF(L357="","",L357*1000+1000-ROW())</f>
        <v/>
      </c>
      <c r="AE357" s="59" t="str">
        <f>IF(IF(AA357="En retard",1,IF(AA357="Action à définir",2,IF(AA357="Échéance manquante",3,IF(AA357="Échéance proche",4,IF(AA357="À réévaluer",5,0)))))=0,"",IF(AA357="En retard",1,IF(AA357="Action à définir",2,IF(AA357="Échéance manquante",3,IF(AA357="Échéance proche",4,IF(AA357="À réévaluer",5,0)))))*100000000+IF(N(Q357)&gt;0,Q357,99999)*1000+ROW())</f>
        <v/>
      </c>
      <c r="AF357" s="59" t="str">
        <f>IF(X357&lt;&gt;"",X357,L357)</f>
        <v/>
      </c>
      <c r="AG357" s="59" t="str">
        <f>IF(X357&lt;&gt;"",Y357,IF(L357&lt;&gt;"",M357,""))</f>
        <v/>
      </c>
      <c r="AH357" s="59" t="str">
        <f>IF(L357="","",IF(X357&lt;&gt;"",U357,F357))</f>
        <v/>
      </c>
      <c r="AI357" s="59" t="str">
        <f>IF(L357="","",IF(X357&lt;&gt;"",V357,H357))</f>
        <v/>
      </c>
    </row>
    <row r="358" ht="30" customHeight="1">
      <c r="A358" s="50" t="n"/>
      <c r="B358" s="51" t="n"/>
      <c r="C358" s="51" t="n"/>
      <c r="D358" s="51" t="n"/>
      <c r="E358" s="51" t="n"/>
      <c r="F358" s="52" t="n"/>
      <c r="G358" s="51" t="n"/>
      <c r="H358" s="52" t="n"/>
      <c r="I358" s="51" t="n"/>
      <c r="J358" s="51" t="n"/>
      <c r="K358" s="52" t="n"/>
      <c r="L358" s="53" t="str">
        <f>IF(AND(IF(ISNUMBER(F358),AND(F358&gt;=1,F358&lt;=10,F358=INT(F358)),FALSE),IF(ISNUMBER(H358),AND(H358&gt;=1,H358&lt;=10,H358=INT(H358)),FALSE),IF(ISNUMBER(K358),AND(K358&gt;=1,K358&lt;=10,K358=INT(K358)),FALSE)),F358*H358*K358,"")</f>
        <v/>
      </c>
      <c r="M358" s="54" t="str">
        <f>IF(L358="",IF(D358="","","À coter"),IF(OR(F358&gt;=p_gmin,L358&gt;=p_ipr_crit),"Critique",IF(L358&gt;=p_ipr_act,"Élevée",IF(L358&gt;=p_ipr_watch,"Moyenne","Faible"))))</f>
        <v/>
      </c>
      <c r="N358" s="54" t="str">
        <f>IF(OR(M358="",M358="À coter"),"",IF(OR(M358="Critique",M358="Élevée"),"Oui","Non"))</f>
        <v/>
      </c>
      <c r="O358" s="51" t="n"/>
      <c r="P358" s="51" t="n"/>
      <c r="Q358" s="55" t="n"/>
      <c r="R358" s="50" t="n"/>
      <c r="S358" s="55" t="n"/>
      <c r="T358" s="56" t="n"/>
      <c r="U358" s="52" t="n"/>
      <c r="V358" s="52" t="n"/>
      <c r="W358" s="52" t="n"/>
      <c r="X358" s="53" t="str">
        <f>IF(AND(L358&lt;&gt;"",IF(ISNUMBER(U358),AND(U358&gt;=1,U358&lt;=10,U358=INT(U358)),FALSE),IF(ISNUMBER(V358),AND(V358&gt;=1,V358&lt;=10,V358=INT(V358)),FALSE),IF(ISNUMBER(W358),AND(W358&gt;=1,W358&lt;=10,W358=INT(W358)),FALSE)),U358*V358*W358,"")</f>
        <v/>
      </c>
      <c r="Y358" s="54" t="str">
        <f>IF(X358="","",IF(OR(U358&gt;=p_gmin,X358&gt;=p_ipr_crit),"Critique",IF(X358&gt;=p_ipr_act,"Élevée",IF(X358&gt;=p_ipr_watch,"Moyenne","Faible"))))</f>
        <v/>
      </c>
      <c r="Z358" s="57" t="str">
        <f>IF(X358="","",(L358-X358)/L358)</f>
        <v/>
      </c>
      <c r="AA358" s="54" t="str">
        <f>IF(AND(D358="",O358=""),"",IF(O358="",IF(N358="Oui","Action à définir",IF(N358="Non","Sans action","")),IF(R358="Annulée","Annulée",IF(R358="Réalisée",IF(X358="","À réévaluer","Réalisée"),IF(N(Q358)=0,"Échéance manquante",IF(Q358&lt;p_today,"En retard",IF(Q358-p_today&lt;=p_alert,"Échéance proche","Dans les délais")))))))</f>
        <v/>
      </c>
      <c r="AB358" s="58" t="str">
        <f>IF(AND(A358="",B358="",D358="",F358="",H358="",K358="",O358=""),"",IF(D358="","Mode de défaillance manquant",IF(AND(A358&lt;&gt;"",COUNTIF(am_num,A358)&gt;1),"N° en double",IF(F358="","Gravité G manquante",IF(NOT(IF(ISNUMBER(F358),AND(F358&gt;=1,F358&lt;=10,F358=INT(F358)),FALSE)),"G : entier de 1 à 10",IF(H358="","Occurrence O manquante",IF(NOT(IF(ISNUMBER(H358),AND(H358&gt;=1,H358&lt;=10,H358=INT(H358)),FALSE)),"O : entier de 1 à 10",IF(K358="","Détection D manquante",IF(NOT(IF(ISNUMBER(K358),AND(K358&gt;=1,K358&lt;=10,K358=INT(K358)),FALSE)),"D : entier de 1 à 10",IF(G358="","Cause manquante",IF(AND(O358&lt;&gt;"",P358=""),"Responsable manquant",IF(AND(R358&lt;&gt;"",O358=""),"Statut sans action",IF(AND(R358="Réalisée",N(S358)=0),"Date de réalisation manquante",IF(AND(T358&lt;&gt;"",IF(ISNUMBER(T358),T358&lt;0,TRUE)),"Coût invalide",IF(AND(COUNTBLANK(U358:W358)&gt;0,COUNTBLANK(U358:W358)&lt;3),"Cotation après action incomplète",IF(AND(COUNTBLANK(U358:W358)=0,X358=""),"G', O', D' : entiers de 1 à 10",IF(AND(X358&lt;&gt;"",X358&gt;L358),"IPR après action plus élevé","OK")))))))))))))))))</f>
        <v/>
      </c>
      <c r="AC358" s="59" t="str">
        <f>IF(OR(AA358="En retard",AA358="Échéance proche",AA358="Dans les délais",AA358="Échéance manquante",AA358="Action à définir",AA358="À réévaluer"),IF(OR(plan_who="",P358=plan_who),IF(N(Q358)&gt;0,Q358,99999)*1000+ROW(),""),"")</f>
        <v/>
      </c>
      <c r="AD358" s="59" t="str">
        <f>IF(L358="","",L358*1000+1000-ROW())</f>
        <v/>
      </c>
      <c r="AE358" s="59" t="str">
        <f>IF(IF(AA358="En retard",1,IF(AA358="Action à définir",2,IF(AA358="Échéance manquante",3,IF(AA358="Échéance proche",4,IF(AA358="À réévaluer",5,0)))))=0,"",IF(AA358="En retard",1,IF(AA358="Action à définir",2,IF(AA358="Échéance manquante",3,IF(AA358="Échéance proche",4,IF(AA358="À réévaluer",5,0)))))*100000000+IF(N(Q358)&gt;0,Q358,99999)*1000+ROW())</f>
        <v/>
      </c>
      <c r="AF358" s="59" t="str">
        <f>IF(X358&lt;&gt;"",X358,L358)</f>
        <v/>
      </c>
      <c r="AG358" s="59" t="str">
        <f>IF(X358&lt;&gt;"",Y358,IF(L358&lt;&gt;"",M358,""))</f>
        <v/>
      </c>
      <c r="AH358" s="59" t="str">
        <f>IF(L358="","",IF(X358&lt;&gt;"",U358,F358))</f>
        <v/>
      </c>
      <c r="AI358" s="59" t="str">
        <f>IF(L358="","",IF(X358&lt;&gt;"",V358,H358))</f>
        <v/>
      </c>
    </row>
    <row r="359" ht="30" customHeight="1">
      <c r="A359" s="50" t="n"/>
      <c r="B359" s="51" t="n"/>
      <c r="C359" s="51" t="n"/>
      <c r="D359" s="51" t="n"/>
      <c r="E359" s="51" t="n"/>
      <c r="F359" s="52" t="n"/>
      <c r="G359" s="51" t="n"/>
      <c r="H359" s="52" t="n"/>
      <c r="I359" s="51" t="n"/>
      <c r="J359" s="51" t="n"/>
      <c r="K359" s="52" t="n"/>
      <c r="L359" s="53" t="str">
        <f>IF(AND(IF(ISNUMBER(F359),AND(F359&gt;=1,F359&lt;=10,F359=INT(F359)),FALSE),IF(ISNUMBER(H359),AND(H359&gt;=1,H359&lt;=10,H359=INT(H359)),FALSE),IF(ISNUMBER(K359),AND(K359&gt;=1,K359&lt;=10,K359=INT(K359)),FALSE)),F359*H359*K359,"")</f>
        <v/>
      </c>
      <c r="M359" s="54" t="str">
        <f>IF(L359="",IF(D359="","","À coter"),IF(OR(F359&gt;=p_gmin,L359&gt;=p_ipr_crit),"Critique",IF(L359&gt;=p_ipr_act,"Élevée",IF(L359&gt;=p_ipr_watch,"Moyenne","Faible"))))</f>
        <v/>
      </c>
      <c r="N359" s="54" t="str">
        <f>IF(OR(M359="",M359="À coter"),"",IF(OR(M359="Critique",M359="Élevée"),"Oui","Non"))</f>
        <v/>
      </c>
      <c r="O359" s="51" t="n"/>
      <c r="P359" s="51" t="n"/>
      <c r="Q359" s="55" t="n"/>
      <c r="R359" s="50" t="n"/>
      <c r="S359" s="55" t="n"/>
      <c r="T359" s="56" t="n"/>
      <c r="U359" s="52" t="n"/>
      <c r="V359" s="52" t="n"/>
      <c r="W359" s="52" t="n"/>
      <c r="X359" s="53" t="str">
        <f>IF(AND(L359&lt;&gt;"",IF(ISNUMBER(U359),AND(U359&gt;=1,U359&lt;=10,U359=INT(U359)),FALSE),IF(ISNUMBER(V359),AND(V359&gt;=1,V359&lt;=10,V359=INT(V359)),FALSE),IF(ISNUMBER(W359),AND(W359&gt;=1,W359&lt;=10,W359=INT(W359)),FALSE)),U359*V359*W359,"")</f>
        <v/>
      </c>
      <c r="Y359" s="54" t="str">
        <f>IF(X359="","",IF(OR(U359&gt;=p_gmin,X359&gt;=p_ipr_crit),"Critique",IF(X359&gt;=p_ipr_act,"Élevée",IF(X359&gt;=p_ipr_watch,"Moyenne","Faible"))))</f>
        <v/>
      </c>
      <c r="Z359" s="57" t="str">
        <f>IF(X359="","",(L359-X359)/L359)</f>
        <v/>
      </c>
      <c r="AA359" s="54" t="str">
        <f>IF(AND(D359="",O359=""),"",IF(O359="",IF(N359="Oui","Action à définir",IF(N359="Non","Sans action","")),IF(R359="Annulée","Annulée",IF(R359="Réalisée",IF(X359="","À réévaluer","Réalisée"),IF(N(Q359)=0,"Échéance manquante",IF(Q359&lt;p_today,"En retard",IF(Q359-p_today&lt;=p_alert,"Échéance proche","Dans les délais")))))))</f>
        <v/>
      </c>
      <c r="AB359" s="58" t="str">
        <f>IF(AND(A359="",B359="",D359="",F359="",H359="",K359="",O359=""),"",IF(D359="","Mode de défaillance manquant",IF(AND(A359&lt;&gt;"",COUNTIF(am_num,A359)&gt;1),"N° en double",IF(F359="","Gravité G manquante",IF(NOT(IF(ISNUMBER(F359),AND(F359&gt;=1,F359&lt;=10,F359=INT(F359)),FALSE)),"G : entier de 1 à 10",IF(H359="","Occurrence O manquante",IF(NOT(IF(ISNUMBER(H359),AND(H359&gt;=1,H359&lt;=10,H359=INT(H359)),FALSE)),"O : entier de 1 à 10",IF(K359="","Détection D manquante",IF(NOT(IF(ISNUMBER(K359),AND(K359&gt;=1,K359&lt;=10,K359=INT(K359)),FALSE)),"D : entier de 1 à 10",IF(G359="","Cause manquante",IF(AND(O359&lt;&gt;"",P359=""),"Responsable manquant",IF(AND(R359&lt;&gt;"",O359=""),"Statut sans action",IF(AND(R359="Réalisée",N(S359)=0),"Date de réalisation manquante",IF(AND(T359&lt;&gt;"",IF(ISNUMBER(T359),T359&lt;0,TRUE)),"Coût invalide",IF(AND(COUNTBLANK(U359:W359)&gt;0,COUNTBLANK(U359:W359)&lt;3),"Cotation après action incomplète",IF(AND(COUNTBLANK(U359:W359)=0,X359=""),"G', O', D' : entiers de 1 à 10",IF(AND(X359&lt;&gt;"",X359&gt;L359),"IPR après action plus élevé","OK")))))))))))))))))</f>
        <v/>
      </c>
      <c r="AC359" s="59" t="str">
        <f>IF(OR(AA359="En retard",AA359="Échéance proche",AA359="Dans les délais",AA359="Échéance manquante",AA359="Action à définir",AA359="À réévaluer"),IF(OR(plan_who="",P359=plan_who),IF(N(Q359)&gt;0,Q359,99999)*1000+ROW(),""),"")</f>
        <v/>
      </c>
      <c r="AD359" s="59" t="str">
        <f>IF(L359="","",L359*1000+1000-ROW())</f>
        <v/>
      </c>
      <c r="AE359" s="59" t="str">
        <f>IF(IF(AA359="En retard",1,IF(AA359="Action à définir",2,IF(AA359="Échéance manquante",3,IF(AA359="Échéance proche",4,IF(AA359="À réévaluer",5,0)))))=0,"",IF(AA359="En retard",1,IF(AA359="Action à définir",2,IF(AA359="Échéance manquante",3,IF(AA359="Échéance proche",4,IF(AA359="À réévaluer",5,0)))))*100000000+IF(N(Q359)&gt;0,Q359,99999)*1000+ROW())</f>
        <v/>
      </c>
      <c r="AF359" s="59" t="str">
        <f>IF(X359&lt;&gt;"",X359,L359)</f>
        <v/>
      </c>
      <c r="AG359" s="59" t="str">
        <f>IF(X359&lt;&gt;"",Y359,IF(L359&lt;&gt;"",M359,""))</f>
        <v/>
      </c>
      <c r="AH359" s="59" t="str">
        <f>IF(L359="","",IF(X359&lt;&gt;"",U359,F359))</f>
        <v/>
      </c>
      <c r="AI359" s="59" t="str">
        <f>IF(L359="","",IF(X359&lt;&gt;"",V359,H359))</f>
        <v/>
      </c>
    </row>
    <row r="360" ht="30" customHeight="1">
      <c r="A360" s="50" t="n"/>
      <c r="B360" s="51" t="n"/>
      <c r="C360" s="51" t="n"/>
      <c r="D360" s="51" t="n"/>
      <c r="E360" s="51" t="n"/>
      <c r="F360" s="52" t="n"/>
      <c r="G360" s="51" t="n"/>
      <c r="H360" s="52" t="n"/>
      <c r="I360" s="51" t="n"/>
      <c r="J360" s="51" t="n"/>
      <c r="K360" s="52" t="n"/>
      <c r="L360" s="53" t="str">
        <f>IF(AND(IF(ISNUMBER(F360),AND(F360&gt;=1,F360&lt;=10,F360=INT(F360)),FALSE),IF(ISNUMBER(H360),AND(H360&gt;=1,H360&lt;=10,H360=INT(H360)),FALSE),IF(ISNUMBER(K360),AND(K360&gt;=1,K360&lt;=10,K360=INT(K360)),FALSE)),F360*H360*K360,"")</f>
        <v/>
      </c>
      <c r="M360" s="54" t="str">
        <f>IF(L360="",IF(D360="","","À coter"),IF(OR(F360&gt;=p_gmin,L360&gt;=p_ipr_crit),"Critique",IF(L360&gt;=p_ipr_act,"Élevée",IF(L360&gt;=p_ipr_watch,"Moyenne","Faible"))))</f>
        <v/>
      </c>
      <c r="N360" s="54" t="str">
        <f>IF(OR(M360="",M360="À coter"),"",IF(OR(M360="Critique",M360="Élevée"),"Oui","Non"))</f>
        <v/>
      </c>
      <c r="O360" s="51" t="n"/>
      <c r="P360" s="51" t="n"/>
      <c r="Q360" s="55" t="n"/>
      <c r="R360" s="50" t="n"/>
      <c r="S360" s="55" t="n"/>
      <c r="T360" s="56" t="n"/>
      <c r="U360" s="52" t="n"/>
      <c r="V360" s="52" t="n"/>
      <c r="W360" s="52" t="n"/>
      <c r="X360" s="53" t="str">
        <f>IF(AND(L360&lt;&gt;"",IF(ISNUMBER(U360),AND(U360&gt;=1,U360&lt;=10,U360=INT(U360)),FALSE),IF(ISNUMBER(V360),AND(V360&gt;=1,V360&lt;=10,V360=INT(V360)),FALSE),IF(ISNUMBER(W360),AND(W360&gt;=1,W360&lt;=10,W360=INT(W360)),FALSE)),U360*V360*W360,"")</f>
        <v/>
      </c>
      <c r="Y360" s="54" t="str">
        <f>IF(X360="","",IF(OR(U360&gt;=p_gmin,X360&gt;=p_ipr_crit),"Critique",IF(X360&gt;=p_ipr_act,"Élevée",IF(X360&gt;=p_ipr_watch,"Moyenne","Faible"))))</f>
        <v/>
      </c>
      <c r="Z360" s="57" t="str">
        <f>IF(X360="","",(L360-X360)/L360)</f>
        <v/>
      </c>
      <c r="AA360" s="54" t="str">
        <f>IF(AND(D360="",O360=""),"",IF(O360="",IF(N360="Oui","Action à définir",IF(N360="Non","Sans action","")),IF(R360="Annulée","Annulée",IF(R360="Réalisée",IF(X360="","À réévaluer","Réalisée"),IF(N(Q360)=0,"Échéance manquante",IF(Q360&lt;p_today,"En retard",IF(Q360-p_today&lt;=p_alert,"Échéance proche","Dans les délais")))))))</f>
        <v/>
      </c>
      <c r="AB360" s="58" t="str">
        <f>IF(AND(A360="",B360="",D360="",F360="",H360="",K360="",O360=""),"",IF(D360="","Mode de défaillance manquant",IF(AND(A360&lt;&gt;"",COUNTIF(am_num,A360)&gt;1),"N° en double",IF(F360="","Gravité G manquante",IF(NOT(IF(ISNUMBER(F360),AND(F360&gt;=1,F360&lt;=10,F360=INT(F360)),FALSE)),"G : entier de 1 à 10",IF(H360="","Occurrence O manquante",IF(NOT(IF(ISNUMBER(H360),AND(H360&gt;=1,H360&lt;=10,H360=INT(H360)),FALSE)),"O : entier de 1 à 10",IF(K360="","Détection D manquante",IF(NOT(IF(ISNUMBER(K360),AND(K360&gt;=1,K360&lt;=10,K360=INT(K360)),FALSE)),"D : entier de 1 à 10",IF(G360="","Cause manquante",IF(AND(O360&lt;&gt;"",P360=""),"Responsable manquant",IF(AND(R360&lt;&gt;"",O360=""),"Statut sans action",IF(AND(R360="Réalisée",N(S360)=0),"Date de réalisation manquante",IF(AND(T360&lt;&gt;"",IF(ISNUMBER(T360),T360&lt;0,TRUE)),"Coût invalide",IF(AND(COUNTBLANK(U360:W360)&gt;0,COUNTBLANK(U360:W360)&lt;3),"Cotation après action incomplète",IF(AND(COUNTBLANK(U360:W360)=0,X360=""),"G', O', D' : entiers de 1 à 10",IF(AND(X360&lt;&gt;"",X360&gt;L360),"IPR après action plus élevé","OK")))))))))))))))))</f>
        <v/>
      </c>
      <c r="AC360" s="59" t="str">
        <f>IF(OR(AA360="En retard",AA360="Échéance proche",AA360="Dans les délais",AA360="Échéance manquante",AA360="Action à définir",AA360="À réévaluer"),IF(OR(plan_who="",P360=plan_who),IF(N(Q360)&gt;0,Q360,99999)*1000+ROW(),""),"")</f>
        <v/>
      </c>
      <c r="AD360" s="59" t="str">
        <f>IF(L360="","",L360*1000+1000-ROW())</f>
        <v/>
      </c>
      <c r="AE360" s="59" t="str">
        <f>IF(IF(AA360="En retard",1,IF(AA360="Action à définir",2,IF(AA360="Échéance manquante",3,IF(AA360="Échéance proche",4,IF(AA360="À réévaluer",5,0)))))=0,"",IF(AA360="En retard",1,IF(AA360="Action à définir",2,IF(AA360="Échéance manquante",3,IF(AA360="Échéance proche",4,IF(AA360="À réévaluer",5,0)))))*100000000+IF(N(Q360)&gt;0,Q360,99999)*1000+ROW())</f>
        <v/>
      </c>
      <c r="AF360" s="59" t="str">
        <f>IF(X360&lt;&gt;"",X360,L360)</f>
        <v/>
      </c>
      <c r="AG360" s="59" t="str">
        <f>IF(X360&lt;&gt;"",Y360,IF(L360&lt;&gt;"",M360,""))</f>
        <v/>
      </c>
      <c r="AH360" s="59" t="str">
        <f>IF(L360="","",IF(X360&lt;&gt;"",U360,F360))</f>
        <v/>
      </c>
      <c r="AI360" s="59" t="str">
        <f>IF(L360="","",IF(X360&lt;&gt;"",V360,H360))</f>
        <v/>
      </c>
    </row>
    <row r="361" ht="30" customHeight="1">
      <c r="A361" s="50" t="n"/>
      <c r="B361" s="51" t="n"/>
      <c r="C361" s="51" t="n"/>
      <c r="D361" s="51" t="n"/>
      <c r="E361" s="51" t="n"/>
      <c r="F361" s="52" t="n"/>
      <c r="G361" s="51" t="n"/>
      <c r="H361" s="52" t="n"/>
      <c r="I361" s="51" t="n"/>
      <c r="J361" s="51" t="n"/>
      <c r="K361" s="52" t="n"/>
      <c r="L361" s="53" t="str">
        <f>IF(AND(IF(ISNUMBER(F361),AND(F361&gt;=1,F361&lt;=10,F361=INT(F361)),FALSE),IF(ISNUMBER(H361),AND(H361&gt;=1,H361&lt;=10,H361=INT(H361)),FALSE),IF(ISNUMBER(K361),AND(K361&gt;=1,K361&lt;=10,K361=INT(K361)),FALSE)),F361*H361*K361,"")</f>
        <v/>
      </c>
      <c r="M361" s="54" t="str">
        <f>IF(L361="",IF(D361="","","À coter"),IF(OR(F361&gt;=p_gmin,L361&gt;=p_ipr_crit),"Critique",IF(L361&gt;=p_ipr_act,"Élevée",IF(L361&gt;=p_ipr_watch,"Moyenne","Faible"))))</f>
        <v/>
      </c>
      <c r="N361" s="54" t="str">
        <f>IF(OR(M361="",M361="À coter"),"",IF(OR(M361="Critique",M361="Élevée"),"Oui","Non"))</f>
        <v/>
      </c>
      <c r="O361" s="51" t="n"/>
      <c r="P361" s="51" t="n"/>
      <c r="Q361" s="55" t="n"/>
      <c r="R361" s="50" t="n"/>
      <c r="S361" s="55" t="n"/>
      <c r="T361" s="56" t="n"/>
      <c r="U361" s="52" t="n"/>
      <c r="V361" s="52" t="n"/>
      <c r="W361" s="52" t="n"/>
      <c r="X361" s="53" t="str">
        <f>IF(AND(L361&lt;&gt;"",IF(ISNUMBER(U361),AND(U361&gt;=1,U361&lt;=10,U361=INT(U361)),FALSE),IF(ISNUMBER(V361),AND(V361&gt;=1,V361&lt;=10,V361=INT(V361)),FALSE),IF(ISNUMBER(W361),AND(W361&gt;=1,W361&lt;=10,W361=INT(W361)),FALSE)),U361*V361*W361,"")</f>
        <v/>
      </c>
      <c r="Y361" s="54" t="str">
        <f>IF(X361="","",IF(OR(U361&gt;=p_gmin,X361&gt;=p_ipr_crit),"Critique",IF(X361&gt;=p_ipr_act,"Élevée",IF(X361&gt;=p_ipr_watch,"Moyenne","Faible"))))</f>
        <v/>
      </c>
      <c r="Z361" s="57" t="str">
        <f>IF(X361="","",(L361-X361)/L361)</f>
        <v/>
      </c>
      <c r="AA361" s="54" t="str">
        <f>IF(AND(D361="",O361=""),"",IF(O361="",IF(N361="Oui","Action à définir",IF(N361="Non","Sans action","")),IF(R361="Annulée","Annulée",IF(R361="Réalisée",IF(X361="","À réévaluer","Réalisée"),IF(N(Q361)=0,"Échéance manquante",IF(Q361&lt;p_today,"En retard",IF(Q361-p_today&lt;=p_alert,"Échéance proche","Dans les délais")))))))</f>
        <v/>
      </c>
      <c r="AB361" s="58" t="str">
        <f>IF(AND(A361="",B361="",D361="",F361="",H361="",K361="",O361=""),"",IF(D361="","Mode de défaillance manquant",IF(AND(A361&lt;&gt;"",COUNTIF(am_num,A361)&gt;1),"N° en double",IF(F361="","Gravité G manquante",IF(NOT(IF(ISNUMBER(F361),AND(F361&gt;=1,F361&lt;=10,F361=INT(F361)),FALSE)),"G : entier de 1 à 10",IF(H361="","Occurrence O manquante",IF(NOT(IF(ISNUMBER(H361),AND(H361&gt;=1,H361&lt;=10,H361=INT(H361)),FALSE)),"O : entier de 1 à 10",IF(K361="","Détection D manquante",IF(NOT(IF(ISNUMBER(K361),AND(K361&gt;=1,K361&lt;=10,K361=INT(K361)),FALSE)),"D : entier de 1 à 10",IF(G361="","Cause manquante",IF(AND(O361&lt;&gt;"",P361=""),"Responsable manquant",IF(AND(R361&lt;&gt;"",O361=""),"Statut sans action",IF(AND(R361="Réalisée",N(S361)=0),"Date de réalisation manquante",IF(AND(T361&lt;&gt;"",IF(ISNUMBER(T361),T361&lt;0,TRUE)),"Coût invalide",IF(AND(COUNTBLANK(U361:W361)&gt;0,COUNTBLANK(U361:W361)&lt;3),"Cotation après action incomplète",IF(AND(COUNTBLANK(U361:W361)=0,X361=""),"G', O', D' : entiers de 1 à 10",IF(AND(X361&lt;&gt;"",X361&gt;L361),"IPR après action plus élevé","OK")))))))))))))))))</f>
        <v/>
      </c>
      <c r="AC361" s="59" t="str">
        <f>IF(OR(AA361="En retard",AA361="Échéance proche",AA361="Dans les délais",AA361="Échéance manquante",AA361="Action à définir",AA361="À réévaluer"),IF(OR(plan_who="",P361=plan_who),IF(N(Q361)&gt;0,Q361,99999)*1000+ROW(),""),"")</f>
        <v/>
      </c>
      <c r="AD361" s="59" t="str">
        <f>IF(L361="","",L361*1000+1000-ROW())</f>
        <v/>
      </c>
      <c r="AE361" s="59" t="str">
        <f>IF(IF(AA361="En retard",1,IF(AA361="Action à définir",2,IF(AA361="Échéance manquante",3,IF(AA361="Échéance proche",4,IF(AA361="À réévaluer",5,0)))))=0,"",IF(AA361="En retard",1,IF(AA361="Action à définir",2,IF(AA361="Échéance manquante",3,IF(AA361="Échéance proche",4,IF(AA361="À réévaluer",5,0)))))*100000000+IF(N(Q361)&gt;0,Q361,99999)*1000+ROW())</f>
        <v/>
      </c>
      <c r="AF361" s="59" t="str">
        <f>IF(X361&lt;&gt;"",X361,L361)</f>
        <v/>
      </c>
      <c r="AG361" s="59" t="str">
        <f>IF(X361&lt;&gt;"",Y361,IF(L361&lt;&gt;"",M361,""))</f>
        <v/>
      </c>
      <c r="AH361" s="59" t="str">
        <f>IF(L361="","",IF(X361&lt;&gt;"",U361,F361))</f>
        <v/>
      </c>
      <c r="AI361" s="59" t="str">
        <f>IF(L361="","",IF(X361&lt;&gt;"",V361,H361))</f>
        <v/>
      </c>
    </row>
    <row r="362" ht="30" customHeight="1">
      <c r="A362" s="50" t="n"/>
      <c r="B362" s="51" t="n"/>
      <c r="C362" s="51" t="n"/>
      <c r="D362" s="51" t="n"/>
      <c r="E362" s="51" t="n"/>
      <c r="F362" s="52" t="n"/>
      <c r="G362" s="51" t="n"/>
      <c r="H362" s="52" t="n"/>
      <c r="I362" s="51" t="n"/>
      <c r="J362" s="51" t="n"/>
      <c r="K362" s="52" t="n"/>
      <c r="L362" s="53" t="str">
        <f>IF(AND(IF(ISNUMBER(F362),AND(F362&gt;=1,F362&lt;=10,F362=INT(F362)),FALSE),IF(ISNUMBER(H362),AND(H362&gt;=1,H362&lt;=10,H362=INT(H362)),FALSE),IF(ISNUMBER(K362),AND(K362&gt;=1,K362&lt;=10,K362=INT(K362)),FALSE)),F362*H362*K362,"")</f>
        <v/>
      </c>
      <c r="M362" s="54" t="str">
        <f>IF(L362="",IF(D362="","","À coter"),IF(OR(F362&gt;=p_gmin,L362&gt;=p_ipr_crit),"Critique",IF(L362&gt;=p_ipr_act,"Élevée",IF(L362&gt;=p_ipr_watch,"Moyenne","Faible"))))</f>
        <v/>
      </c>
      <c r="N362" s="54" t="str">
        <f>IF(OR(M362="",M362="À coter"),"",IF(OR(M362="Critique",M362="Élevée"),"Oui","Non"))</f>
        <v/>
      </c>
      <c r="O362" s="51" t="n"/>
      <c r="P362" s="51" t="n"/>
      <c r="Q362" s="55" t="n"/>
      <c r="R362" s="50" t="n"/>
      <c r="S362" s="55" t="n"/>
      <c r="T362" s="56" t="n"/>
      <c r="U362" s="52" t="n"/>
      <c r="V362" s="52" t="n"/>
      <c r="W362" s="52" t="n"/>
      <c r="X362" s="53" t="str">
        <f>IF(AND(L362&lt;&gt;"",IF(ISNUMBER(U362),AND(U362&gt;=1,U362&lt;=10,U362=INT(U362)),FALSE),IF(ISNUMBER(V362),AND(V362&gt;=1,V362&lt;=10,V362=INT(V362)),FALSE),IF(ISNUMBER(W362),AND(W362&gt;=1,W362&lt;=10,W362=INT(W362)),FALSE)),U362*V362*W362,"")</f>
        <v/>
      </c>
      <c r="Y362" s="54" t="str">
        <f>IF(X362="","",IF(OR(U362&gt;=p_gmin,X362&gt;=p_ipr_crit),"Critique",IF(X362&gt;=p_ipr_act,"Élevée",IF(X362&gt;=p_ipr_watch,"Moyenne","Faible"))))</f>
        <v/>
      </c>
      <c r="Z362" s="57" t="str">
        <f>IF(X362="","",(L362-X362)/L362)</f>
        <v/>
      </c>
      <c r="AA362" s="54" t="str">
        <f>IF(AND(D362="",O362=""),"",IF(O362="",IF(N362="Oui","Action à définir",IF(N362="Non","Sans action","")),IF(R362="Annulée","Annulée",IF(R362="Réalisée",IF(X362="","À réévaluer","Réalisée"),IF(N(Q362)=0,"Échéance manquante",IF(Q362&lt;p_today,"En retard",IF(Q362-p_today&lt;=p_alert,"Échéance proche","Dans les délais")))))))</f>
        <v/>
      </c>
      <c r="AB362" s="58" t="str">
        <f>IF(AND(A362="",B362="",D362="",F362="",H362="",K362="",O362=""),"",IF(D362="","Mode de défaillance manquant",IF(AND(A362&lt;&gt;"",COUNTIF(am_num,A362)&gt;1),"N° en double",IF(F362="","Gravité G manquante",IF(NOT(IF(ISNUMBER(F362),AND(F362&gt;=1,F362&lt;=10,F362=INT(F362)),FALSE)),"G : entier de 1 à 10",IF(H362="","Occurrence O manquante",IF(NOT(IF(ISNUMBER(H362),AND(H362&gt;=1,H362&lt;=10,H362=INT(H362)),FALSE)),"O : entier de 1 à 10",IF(K362="","Détection D manquante",IF(NOT(IF(ISNUMBER(K362),AND(K362&gt;=1,K362&lt;=10,K362=INT(K362)),FALSE)),"D : entier de 1 à 10",IF(G362="","Cause manquante",IF(AND(O362&lt;&gt;"",P362=""),"Responsable manquant",IF(AND(R362&lt;&gt;"",O362=""),"Statut sans action",IF(AND(R362="Réalisée",N(S362)=0),"Date de réalisation manquante",IF(AND(T362&lt;&gt;"",IF(ISNUMBER(T362),T362&lt;0,TRUE)),"Coût invalide",IF(AND(COUNTBLANK(U362:W362)&gt;0,COUNTBLANK(U362:W362)&lt;3),"Cotation après action incomplète",IF(AND(COUNTBLANK(U362:W362)=0,X362=""),"G', O', D' : entiers de 1 à 10",IF(AND(X362&lt;&gt;"",X362&gt;L362),"IPR après action plus élevé","OK")))))))))))))))))</f>
        <v/>
      </c>
      <c r="AC362" s="59" t="str">
        <f>IF(OR(AA362="En retard",AA362="Échéance proche",AA362="Dans les délais",AA362="Échéance manquante",AA362="Action à définir",AA362="À réévaluer"),IF(OR(plan_who="",P362=plan_who),IF(N(Q362)&gt;0,Q362,99999)*1000+ROW(),""),"")</f>
        <v/>
      </c>
      <c r="AD362" s="59" t="str">
        <f>IF(L362="","",L362*1000+1000-ROW())</f>
        <v/>
      </c>
      <c r="AE362" s="59" t="str">
        <f>IF(IF(AA362="En retard",1,IF(AA362="Action à définir",2,IF(AA362="Échéance manquante",3,IF(AA362="Échéance proche",4,IF(AA362="À réévaluer",5,0)))))=0,"",IF(AA362="En retard",1,IF(AA362="Action à définir",2,IF(AA362="Échéance manquante",3,IF(AA362="Échéance proche",4,IF(AA362="À réévaluer",5,0)))))*100000000+IF(N(Q362)&gt;0,Q362,99999)*1000+ROW())</f>
        <v/>
      </c>
      <c r="AF362" s="59" t="str">
        <f>IF(X362&lt;&gt;"",X362,L362)</f>
        <v/>
      </c>
      <c r="AG362" s="59" t="str">
        <f>IF(X362&lt;&gt;"",Y362,IF(L362&lt;&gt;"",M362,""))</f>
        <v/>
      </c>
      <c r="AH362" s="59" t="str">
        <f>IF(L362="","",IF(X362&lt;&gt;"",U362,F362))</f>
        <v/>
      </c>
      <c r="AI362" s="59" t="str">
        <f>IF(L362="","",IF(X362&lt;&gt;"",V362,H362))</f>
        <v/>
      </c>
    </row>
    <row r="363" ht="30" customHeight="1">
      <c r="A363" s="50" t="n"/>
      <c r="B363" s="51" t="n"/>
      <c r="C363" s="51" t="n"/>
      <c r="D363" s="51" t="n"/>
      <c r="E363" s="51" t="n"/>
      <c r="F363" s="52" t="n"/>
      <c r="G363" s="51" t="n"/>
      <c r="H363" s="52" t="n"/>
      <c r="I363" s="51" t="n"/>
      <c r="J363" s="51" t="n"/>
      <c r="K363" s="52" t="n"/>
      <c r="L363" s="53" t="str">
        <f>IF(AND(IF(ISNUMBER(F363),AND(F363&gt;=1,F363&lt;=10,F363=INT(F363)),FALSE),IF(ISNUMBER(H363),AND(H363&gt;=1,H363&lt;=10,H363=INT(H363)),FALSE),IF(ISNUMBER(K363),AND(K363&gt;=1,K363&lt;=10,K363=INT(K363)),FALSE)),F363*H363*K363,"")</f>
        <v/>
      </c>
      <c r="M363" s="54" t="str">
        <f>IF(L363="",IF(D363="","","À coter"),IF(OR(F363&gt;=p_gmin,L363&gt;=p_ipr_crit),"Critique",IF(L363&gt;=p_ipr_act,"Élevée",IF(L363&gt;=p_ipr_watch,"Moyenne","Faible"))))</f>
        <v/>
      </c>
      <c r="N363" s="54" t="str">
        <f>IF(OR(M363="",M363="À coter"),"",IF(OR(M363="Critique",M363="Élevée"),"Oui","Non"))</f>
        <v/>
      </c>
      <c r="O363" s="51" t="n"/>
      <c r="P363" s="51" t="n"/>
      <c r="Q363" s="55" t="n"/>
      <c r="R363" s="50" t="n"/>
      <c r="S363" s="55" t="n"/>
      <c r="T363" s="56" t="n"/>
      <c r="U363" s="52" t="n"/>
      <c r="V363" s="52" t="n"/>
      <c r="W363" s="52" t="n"/>
      <c r="X363" s="53" t="str">
        <f>IF(AND(L363&lt;&gt;"",IF(ISNUMBER(U363),AND(U363&gt;=1,U363&lt;=10,U363=INT(U363)),FALSE),IF(ISNUMBER(V363),AND(V363&gt;=1,V363&lt;=10,V363=INT(V363)),FALSE),IF(ISNUMBER(W363),AND(W363&gt;=1,W363&lt;=10,W363=INT(W363)),FALSE)),U363*V363*W363,"")</f>
        <v/>
      </c>
      <c r="Y363" s="54" t="str">
        <f>IF(X363="","",IF(OR(U363&gt;=p_gmin,X363&gt;=p_ipr_crit),"Critique",IF(X363&gt;=p_ipr_act,"Élevée",IF(X363&gt;=p_ipr_watch,"Moyenne","Faible"))))</f>
        <v/>
      </c>
      <c r="Z363" s="57" t="str">
        <f>IF(X363="","",(L363-X363)/L363)</f>
        <v/>
      </c>
      <c r="AA363" s="54" t="str">
        <f>IF(AND(D363="",O363=""),"",IF(O363="",IF(N363="Oui","Action à définir",IF(N363="Non","Sans action","")),IF(R363="Annulée","Annulée",IF(R363="Réalisée",IF(X363="","À réévaluer","Réalisée"),IF(N(Q363)=0,"Échéance manquante",IF(Q363&lt;p_today,"En retard",IF(Q363-p_today&lt;=p_alert,"Échéance proche","Dans les délais")))))))</f>
        <v/>
      </c>
      <c r="AB363" s="58" t="str">
        <f>IF(AND(A363="",B363="",D363="",F363="",H363="",K363="",O363=""),"",IF(D363="","Mode de défaillance manquant",IF(AND(A363&lt;&gt;"",COUNTIF(am_num,A363)&gt;1),"N° en double",IF(F363="","Gravité G manquante",IF(NOT(IF(ISNUMBER(F363),AND(F363&gt;=1,F363&lt;=10,F363=INT(F363)),FALSE)),"G : entier de 1 à 10",IF(H363="","Occurrence O manquante",IF(NOT(IF(ISNUMBER(H363),AND(H363&gt;=1,H363&lt;=10,H363=INT(H363)),FALSE)),"O : entier de 1 à 10",IF(K363="","Détection D manquante",IF(NOT(IF(ISNUMBER(K363),AND(K363&gt;=1,K363&lt;=10,K363=INT(K363)),FALSE)),"D : entier de 1 à 10",IF(G363="","Cause manquante",IF(AND(O363&lt;&gt;"",P363=""),"Responsable manquant",IF(AND(R363&lt;&gt;"",O363=""),"Statut sans action",IF(AND(R363="Réalisée",N(S363)=0),"Date de réalisation manquante",IF(AND(T363&lt;&gt;"",IF(ISNUMBER(T363),T363&lt;0,TRUE)),"Coût invalide",IF(AND(COUNTBLANK(U363:W363)&gt;0,COUNTBLANK(U363:W363)&lt;3),"Cotation après action incomplète",IF(AND(COUNTBLANK(U363:W363)=0,X363=""),"G', O', D' : entiers de 1 à 10",IF(AND(X363&lt;&gt;"",X363&gt;L363),"IPR après action plus élevé","OK")))))))))))))))))</f>
        <v/>
      </c>
      <c r="AC363" s="59" t="str">
        <f>IF(OR(AA363="En retard",AA363="Échéance proche",AA363="Dans les délais",AA363="Échéance manquante",AA363="Action à définir",AA363="À réévaluer"),IF(OR(plan_who="",P363=plan_who),IF(N(Q363)&gt;0,Q363,99999)*1000+ROW(),""),"")</f>
        <v/>
      </c>
      <c r="AD363" s="59" t="str">
        <f>IF(L363="","",L363*1000+1000-ROW())</f>
        <v/>
      </c>
      <c r="AE363" s="59" t="str">
        <f>IF(IF(AA363="En retard",1,IF(AA363="Action à définir",2,IF(AA363="Échéance manquante",3,IF(AA363="Échéance proche",4,IF(AA363="À réévaluer",5,0)))))=0,"",IF(AA363="En retard",1,IF(AA363="Action à définir",2,IF(AA363="Échéance manquante",3,IF(AA363="Échéance proche",4,IF(AA363="À réévaluer",5,0)))))*100000000+IF(N(Q363)&gt;0,Q363,99999)*1000+ROW())</f>
        <v/>
      </c>
      <c r="AF363" s="59" t="str">
        <f>IF(X363&lt;&gt;"",X363,L363)</f>
        <v/>
      </c>
      <c r="AG363" s="59" t="str">
        <f>IF(X363&lt;&gt;"",Y363,IF(L363&lt;&gt;"",M363,""))</f>
        <v/>
      </c>
      <c r="AH363" s="59" t="str">
        <f>IF(L363="","",IF(X363&lt;&gt;"",U363,F363))</f>
        <v/>
      </c>
      <c r="AI363" s="59" t="str">
        <f>IF(L363="","",IF(X363&lt;&gt;"",V363,H363))</f>
        <v/>
      </c>
    </row>
    <row r="364" ht="30" customHeight="1">
      <c r="A364" s="50" t="n"/>
      <c r="B364" s="51" t="n"/>
      <c r="C364" s="51" t="n"/>
      <c r="D364" s="51" t="n"/>
      <c r="E364" s="51" t="n"/>
      <c r="F364" s="52" t="n"/>
      <c r="G364" s="51" t="n"/>
      <c r="H364" s="52" t="n"/>
      <c r="I364" s="51" t="n"/>
      <c r="J364" s="51" t="n"/>
      <c r="K364" s="52" t="n"/>
      <c r="L364" s="53" t="str">
        <f>IF(AND(IF(ISNUMBER(F364),AND(F364&gt;=1,F364&lt;=10,F364=INT(F364)),FALSE),IF(ISNUMBER(H364),AND(H364&gt;=1,H364&lt;=10,H364=INT(H364)),FALSE),IF(ISNUMBER(K364),AND(K364&gt;=1,K364&lt;=10,K364=INT(K364)),FALSE)),F364*H364*K364,"")</f>
        <v/>
      </c>
      <c r="M364" s="54" t="str">
        <f>IF(L364="",IF(D364="","","À coter"),IF(OR(F364&gt;=p_gmin,L364&gt;=p_ipr_crit),"Critique",IF(L364&gt;=p_ipr_act,"Élevée",IF(L364&gt;=p_ipr_watch,"Moyenne","Faible"))))</f>
        <v/>
      </c>
      <c r="N364" s="54" t="str">
        <f>IF(OR(M364="",M364="À coter"),"",IF(OR(M364="Critique",M364="Élevée"),"Oui","Non"))</f>
        <v/>
      </c>
      <c r="O364" s="51" t="n"/>
      <c r="P364" s="51" t="n"/>
      <c r="Q364" s="55" t="n"/>
      <c r="R364" s="50" t="n"/>
      <c r="S364" s="55" t="n"/>
      <c r="T364" s="56" t="n"/>
      <c r="U364" s="52" t="n"/>
      <c r="V364" s="52" t="n"/>
      <c r="W364" s="52" t="n"/>
      <c r="X364" s="53" t="str">
        <f>IF(AND(L364&lt;&gt;"",IF(ISNUMBER(U364),AND(U364&gt;=1,U364&lt;=10,U364=INT(U364)),FALSE),IF(ISNUMBER(V364),AND(V364&gt;=1,V364&lt;=10,V364=INT(V364)),FALSE),IF(ISNUMBER(W364),AND(W364&gt;=1,W364&lt;=10,W364=INT(W364)),FALSE)),U364*V364*W364,"")</f>
        <v/>
      </c>
      <c r="Y364" s="54" t="str">
        <f>IF(X364="","",IF(OR(U364&gt;=p_gmin,X364&gt;=p_ipr_crit),"Critique",IF(X364&gt;=p_ipr_act,"Élevée",IF(X364&gt;=p_ipr_watch,"Moyenne","Faible"))))</f>
        <v/>
      </c>
      <c r="Z364" s="57" t="str">
        <f>IF(X364="","",(L364-X364)/L364)</f>
        <v/>
      </c>
      <c r="AA364" s="54" t="str">
        <f>IF(AND(D364="",O364=""),"",IF(O364="",IF(N364="Oui","Action à définir",IF(N364="Non","Sans action","")),IF(R364="Annulée","Annulée",IF(R364="Réalisée",IF(X364="","À réévaluer","Réalisée"),IF(N(Q364)=0,"Échéance manquante",IF(Q364&lt;p_today,"En retard",IF(Q364-p_today&lt;=p_alert,"Échéance proche","Dans les délais")))))))</f>
        <v/>
      </c>
      <c r="AB364" s="58" t="str">
        <f>IF(AND(A364="",B364="",D364="",F364="",H364="",K364="",O364=""),"",IF(D364="","Mode de défaillance manquant",IF(AND(A364&lt;&gt;"",COUNTIF(am_num,A364)&gt;1),"N° en double",IF(F364="","Gravité G manquante",IF(NOT(IF(ISNUMBER(F364),AND(F364&gt;=1,F364&lt;=10,F364=INT(F364)),FALSE)),"G : entier de 1 à 10",IF(H364="","Occurrence O manquante",IF(NOT(IF(ISNUMBER(H364),AND(H364&gt;=1,H364&lt;=10,H364=INT(H364)),FALSE)),"O : entier de 1 à 10",IF(K364="","Détection D manquante",IF(NOT(IF(ISNUMBER(K364),AND(K364&gt;=1,K364&lt;=10,K364=INT(K364)),FALSE)),"D : entier de 1 à 10",IF(G364="","Cause manquante",IF(AND(O364&lt;&gt;"",P364=""),"Responsable manquant",IF(AND(R364&lt;&gt;"",O364=""),"Statut sans action",IF(AND(R364="Réalisée",N(S364)=0),"Date de réalisation manquante",IF(AND(T364&lt;&gt;"",IF(ISNUMBER(T364),T364&lt;0,TRUE)),"Coût invalide",IF(AND(COUNTBLANK(U364:W364)&gt;0,COUNTBLANK(U364:W364)&lt;3),"Cotation après action incomplète",IF(AND(COUNTBLANK(U364:W364)=0,X364=""),"G', O', D' : entiers de 1 à 10",IF(AND(X364&lt;&gt;"",X364&gt;L364),"IPR après action plus élevé","OK")))))))))))))))))</f>
        <v/>
      </c>
      <c r="AC364" s="59" t="str">
        <f>IF(OR(AA364="En retard",AA364="Échéance proche",AA364="Dans les délais",AA364="Échéance manquante",AA364="Action à définir",AA364="À réévaluer"),IF(OR(plan_who="",P364=plan_who),IF(N(Q364)&gt;0,Q364,99999)*1000+ROW(),""),"")</f>
        <v/>
      </c>
      <c r="AD364" s="59" t="str">
        <f>IF(L364="","",L364*1000+1000-ROW())</f>
        <v/>
      </c>
      <c r="AE364" s="59" t="str">
        <f>IF(IF(AA364="En retard",1,IF(AA364="Action à définir",2,IF(AA364="Échéance manquante",3,IF(AA364="Échéance proche",4,IF(AA364="À réévaluer",5,0)))))=0,"",IF(AA364="En retard",1,IF(AA364="Action à définir",2,IF(AA364="Échéance manquante",3,IF(AA364="Échéance proche",4,IF(AA364="À réévaluer",5,0)))))*100000000+IF(N(Q364)&gt;0,Q364,99999)*1000+ROW())</f>
        <v/>
      </c>
      <c r="AF364" s="59" t="str">
        <f>IF(X364&lt;&gt;"",X364,L364)</f>
        <v/>
      </c>
      <c r="AG364" s="59" t="str">
        <f>IF(X364&lt;&gt;"",Y364,IF(L364&lt;&gt;"",M364,""))</f>
        <v/>
      </c>
      <c r="AH364" s="59" t="str">
        <f>IF(L364="","",IF(X364&lt;&gt;"",U364,F364))</f>
        <v/>
      </c>
      <c r="AI364" s="59" t="str">
        <f>IF(L364="","",IF(X364&lt;&gt;"",V364,H364))</f>
        <v/>
      </c>
    </row>
    <row r="365" ht="30" customHeight="1">
      <c r="A365" s="50" t="n"/>
      <c r="B365" s="51" t="n"/>
      <c r="C365" s="51" t="n"/>
      <c r="D365" s="51" t="n"/>
      <c r="E365" s="51" t="n"/>
      <c r="F365" s="52" t="n"/>
      <c r="G365" s="51" t="n"/>
      <c r="H365" s="52" t="n"/>
      <c r="I365" s="51" t="n"/>
      <c r="J365" s="51" t="n"/>
      <c r="K365" s="52" t="n"/>
      <c r="L365" s="53" t="str">
        <f>IF(AND(IF(ISNUMBER(F365),AND(F365&gt;=1,F365&lt;=10,F365=INT(F365)),FALSE),IF(ISNUMBER(H365),AND(H365&gt;=1,H365&lt;=10,H365=INT(H365)),FALSE),IF(ISNUMBER(K365),AND(K365&gt;=1,K365&lt;=10,K365=INT(K365)),FALSE)),F365*H365*K365,"")</f>
        <v/>
      </c>
      <c r="M365" s="54" t="str">
        <f>IF(L365="",IF(D365="","","À coter"),IF(OR(F365&gt;=p_gmin,L365&gt;=p_ipr_crit),"Critique",IF(L365&gt;=p_ipr_act,"Élevée",IF(L365&gt;=p_ipr_watch,"Moyenne","Faible"))))</f>
        <v/>
      </c>
      <c r="N365" s="54" t="str">
        <f>IF(OR(M365="",M365="À coter"),"",IF(OR(M365="Critique",M365="Élevée"),"Oui","Non"))</f>
        <v/>
      </c>
      <c r="O365" s="51" t="n"/>
      <c r="P365" s="51" t="n"/>
      <c r="Q365" s="55" t="n"/>
      <c r="R365" s="50" t="n"/>
      <c r="S365" s="55" t="n"/>
      <c r="T365" s="56" t="n"/>
      <c r="U365" s="52" t="n"/>
      <c r="V365" s="52" t="n"/>
      <c r="W365" s="52" t="n"/>
      <c r="X365" s="53" t="str">
        <f>IF(AND(L365&lt;&gt;"",IF(ISNUMBER(U365),AND(U365&gt;=1,U365&lt;=10,U365=INT(U365)),FALSE),IF(ISNUMBER(V365),AND(V365&gt;=1,V365&lt;=10,V365=INT(V365)),FALSE),IF(ISNUMBER(W365),AND(W365&gt;=1,W365&lt;=10,W365=INT(W365)),FALSE)),U365*V365*W365,"")</f>
        <v/>
      </c>
      <c r="Y365" s="54" t="str">
        <f>IF(X365="","",IF(OR(U365&gt;=p_gmin,X365&gt;=p_ipr_crit),"Critique",IF(X365&gt;=p_ipr_act,"Élevée",IF(X365&gt;=p_ipr_watch,"Moyenne","Faible"))))</f>
        <v/>
      </c>
      <c r="Z365" s="57" t="str">
        <f>IF(X365="","",(L365-X365)/L365)</f>
        <v/>
      </c>
      <c r="AA365" s="54" t="str">
        <f>IF(AND(D365="",O365=""),"",IF(O365="",IF(N365="Oui","Action à définir",IF(N365="Non","Sans action","")),IF(R365="Annulée","Annulée",IF(R365="Réalisée",IF(X365="","À réévaluer","Réalisée"),IF(N(Q365)=0,"Échéance manquante",IF(Q365&lt;p_today,"En retard",IF(Q365-p_today&lt;=p_alert,"Échéance proche","Dans les délais")))))))</f>
        <v/>
      </c>
      <c r="AB365" s="58" t="str">
        <f>IF(AND(A365="",B365="",D365="",F365="",H365="",K365="",O365=""),"",IF(D365="","Mode de défaillance manquant",IF(AND(A365&lt;&gt;"",COUNTIF(am_num,A365)&gt;1),"N° en double",IF(F365="","Gravité G manquante",IF(NOT(IF(ISNUMBER(F365),AND(F365&gt;=1,F365&lt;=10,F365=INT(F365)),FALSE)),"G : entier de 1 à 10",IF(H365="","Occurrence O manquante",IF(NOT(IF(ISNUMBER(H365),AND(H365&gt;=1,H365&lt;=10,H365=INT(H365)),FALSE)),"O : entier de 1 à 10",IF(K365="","Détection D manquante",IF(NOT(IF(ISNUMBER(K365),AND(K365&gt;=1,K365&lt;=10,K365=INT(K365)),FALSE)),"D : entier de 1 à 10",IF(G365="","Cause manquante",IF(AND(O365&lt;&gt;"",P365=""),"Responsable manquant",IF(AND(R365&lt;&gt;"",O365=""),"Statut sans action",IF(AND(R365="Réalisée",N(S365)=0),"Date de réalisation manquante",IF(AND(T365&lt;&gt;"",IF(ISNUMBER(T365),T365&lt;0,TRUE)),"Coût invalide",IF(AND(COUNTBLANK(U365:W365)&gt;0,COUNTBLANK(U365:W365)&lt;3),"Cotation après action incomplète",IF(AND(COUNTBLANK(U365:W365)=0,X365=""),"G', O', D' : entiers de 1 à 10",IF(AND(X365&lt;&gt;"",X365&gt;L365),"IPR après action plus élevé","OK")))))))))))))))))</f>
        <v/>
      </c>
      <c r="AC365" s="59" t="str">
        <f>IF(OR(AA365="En retard",AA365="Échéance proche",AA365="Dans les délais",AA365="Échéance manquante",AA365="Action à définir",AA365="À réévaluer"),IF(OR(plan_who="",P365=plan_who),IF(N(Q365)&gt;0,Q365,99999)*1000+ROW(),""),"")</f>
        <v/>
      </c>
      <c r="AD365" s="59" t="str">
        <f>IF(L365="","",L365*1000+1000-ROW())</f>
        <v/>
      </c>
      <c r="AE365" s="59" t="str">
        <f>IF(IF(AA365="En retard",1,IF(AA365="Action à définir",2,IF(AA365="Échéance manquante",3,IF(AA365="Échéance proche",4,IF(AA365="À réévaluer",5,0)))))=0,"",IF(AA365="En retard",1,IF(AA365="Action à définir",2,IF(AA365="Échéance manquante",3,IF(AA365="Échéance proche",4,IF(AA365="À réévaluer",5,0)))))*100000000+IF(N(Q365)&gt;0,Q365,99999)*1000+ROW())</f>
        <v/>
      </c>
      <c r="AF365" s="59" t="str">
        <f>IF(X365&lt;&gt;"",X365,L365)</f>
        <v/>
      </c>
      <c r="AG365" s="59" t="str">
        <f>IF(X365&lt;&gt;"",Y365,IF(L365&lt;&gt;"",M365,""))</f>
        <v/>
      </c>
      <c r="AH365" s="59" t="str">
        <f>IF(L365="","",IF(X365&lt;&gt;"",U365,F365))</f>
        <v/>
      </c>
      <c r="AI365" s="59" t="str">
        <f>IF(L365="","",IF(X365&lt;&gt;"",V365,H365))</f>
        <v/>
      </c>
    </row>
    <row r="366" ht="30" customHeight="1">
      <c r="A366" s="50" t="n"/>
      <c r="B366" s="51" t="n"/>
      <c r="C366" s="51" t="n"/>
      <c r="D366" s="51" t="n"/>
      <c r="E366" s="51" t="n"/>
      <c r="F366" s="52" t="n"/>
      <c r="G366" s="51" t="n"/>
      <c r="H366" s="52" t="n"/>
      <c r="I366" s="51" t="n"/>
      <c r="J366" s="51" t="n"/>
      <c r="K366" s="52" t="n"/>
      <c r="L366" s="53" t="str">
        <f>IF(AND(IF(ISNUMBER(F366),AND(F366&gt;=1,F366&lt;=10,F366=INT(F366)),FALSE),IF(ISNUMBER(H366),AND(H366&gt;=1,H366&lt;=10,H366=INT(H366)),FALSE),IF(ISNUMBER(K366),AND(K366&gt;=1,K366&lt;=10,K366=INT(K366)),FALSE)),F366*H366*K366,"")</f>
        <v/>
      </c>
      <c r="M366" s="54" t="str">
        <f>IF(L366="",IF(D366="","","À coter"),IF(OR(F366&gt;=p_gmin,L366&gt;=p_ipr_crit),"Critique",IF(L366&gt;=p_ipr_act,"Élevée",IF(L366&gt;=p_ipr_watch,"Moyenne","Faible"))))</f>
        <v/>
      </c>
      <c r="N366" s="54" t="str">
        <f>IF(OR(M366="",M366="À coter"),"",IF(OR(M366="Critique",M366="Élevée"),"Oui","Non"))</f>
        <v/>
      </c>
      <c r="O366" s="51" t="n"/>
      <c r="P366" s="51" t="n"/>
      <c r="Q366" s="55" t="n"/>
      <c r="R366" s="50" t="n"/>
      <c r="S366" s="55" t="n"/>
      <c r="T366" s="56" t="n"/>
      <c r="U366" s="52" t="n"/>
      <c r="V366" s="52" t="n"/>
      <c r="W366" s="52" t="n"/>
      <c r="X366" s="53" t="str">
        <f>IF(AND(L366&lt;&gt;"",IF(ISNUMBER(U366),AND(U366&gt;=1,U366&lt;=10,U366=INT(U366)),FALSE),IF(ISNUMBER(V366),AND(V366&gt;=1,V366&lt;=10,V366=INT(V366)),FALSE),IF(ISNUMBER(W366),AND(W366&gt;=1,W366&lt;=10,W366=INT(W366)),FALSE)),U366*V366*W366,"")</f>
        <v/>
      </c>
      <c r="Y366" s="54" t="str">
        <f>IF(X366="","",IF(OR(U366&gt;=p_gmin,X366&gt;=p_ipr_crit),"Critique",IF(X366&gt;=p_ipr_act,"Élevée",IF(X366&gt;=p_ipr_watch,"Moyenne","Faible"))))</f>
        <v/>
      </c>
      <c r="Z366" s="57" t="str">
        <f>IF(X366="","",(L366-X366)/L366)</f>
        <v/>
      </c>
      <c r="AA366" s="54" t="str">
        <f>IF(AND(D366="",O366=""),"",IF(O366="",IF(N366="Oui","Action à définir",IF(N366="Non","Sans action","")),IF(R366="Annulée","Annulée",IF(R366="Réalisée",IF(X366="","À réévaluer","Réalisée"),IF(N(Q366)=0,"Échéance manquante",IF(Q366&lt;p_today,"En retard",IF(Q366-p_today&lt;=p_alert,"Échéance proche","Dans les délais")))))))</f>
        <v/>
      </c>
      <c r="AB366" s="58" t="str">
        <f>IF(AND(A366="",B366="",D366="",F366="",H366="",K366="",O366=""),"",IF(D366="","Mode de défaillance manquant",IF(AND(A366&lt;&gt;"",COUNTIF(am_num,A366)&gt;1),"N° en double",IF(F366="","Gravité G manquante",IF(NOT(IF(ISNUMBER(F366),AND(F366&gt;=1,F366&lt;=10,F366=INT(F366)),FALSE)),"G : entier de 1 à 10",IF(H366="","Occurrence O manquante",IF(NOT(IF(ISNUMBER(H366),AND(H366&gt;=1,H366&lt;=10,H366=INT(H366)),FALSE)),"O : entier de 1 à 10",IF(K366="","Détection D manquante",IF(NOT(IF(ISNUMBER(K366),AND(K366&gt;=1,K366&lt;=10,K366=INT(K366)),FALSE)),"D : entier de 1 à 10",IF(G366="","Cause manquante",IF(AND(O366&lt;&gt;"",P366=""),"Responsable manquant",IF(AND(R366&lt;&gt;"",O366=""),"Statut sans action",IF(AND(R366="Réalisée",N(S366)=0),"Date de réalisation manquante",IF(AND(T366&lt;&gt;"",IF(ISNUMBER(T366),T366&lt;0,TRUE)),"Coût invalide",IF(AND(COUNTBLANK(U366:W366)&gt;0,COUNTBLANK(U366:W366)&lt;3),"Cotation après action incomplète",IF(AND(COUNTBLANK(U366:W366)=0,X366=""),"G', O', D' : entiers de 1 à 10",IF(AND(X366&lt;&gt;"",X366&gt;L366),"IPR après action plus élevé","OK")))))))))))))))))</f>
        <v/>
      </c>
      <c r="AC366" s="59" t="str">
        <f>IF(OR(AA366="En retard",AA366="Échéance proche",AA366="Dans les délais",AA366="Échéance manquante",AA366="Action à définir",AA366="À réévaluer"),IF(OR(plan_who="",P366=plan_who),IF(N(Q366)&gt;0,Q366,99999)*1000+ROW(),""),"")</f>
        <v/>
      </c>
      <c r="AD366" s="59" t="str">
        <f>IF(L366="","",L366*1000+1000-ROW())</f>
        <v/>
      </c>
      <c r="AE366" s="59" t="str">
        <f>IF(IF(AA366="En retard",1,IF(AA366="Action à définir",2,IF(AA366="Échéance manquante",3,IF(AA366="Échéance proche",4,IF(AA366="À réévaluer",5,0)))))=0,"",IF(AA366="En retard",1,IF(AA366="Action à définir",2,IF(AA366="Échéance manquante",3,IF(AA366="Échéance proche",4,IF(AA366="À réévaluer",5,0)))))*100000000+IF(N(Q366)&gt;0,Q366,99999)*1000+ROW())</f>
        <v/>
      </c>
      <c r="AF366" s="59" t="str">
        <f>IF(X366&lt;&gt;"",X366,L366)</f>
        <v/>
      </c>
      <c r="AG366" s="59" t="str">
        <f>IF(X366&lt;&gt;"",Y366,IF(L366&lt;&gt;"",M366,""))</f>
        <v/>
      </c>
      <c r="AH366" s="59" t="str">
        <f>IF(L366="","",IF(X366&lt;&gt;"",U366,F366))</f>
        <v/>
      </c>
      <c r="AI366" s="59" t="str">
        <f>IF(L366="","",IF(X366&lt;&gt;"",V366,H366))</f>
        <v/>
      </c>
    </row>
    <row r="367" ht="30" customHeight="1">
      <c r="A367" s="50" t="n"/>
      <c r="B367" s="51" t="n"/>
      <c r="C367" s="51" t="n"/>
      <c r="D367" s="51" t="n"/>
      <c r="E367" s="51" t="n"/>
      <c r="F367" s="52" t="n"/>
      <c r="G367" s="51" t="n"/>
      <c r="H367" s="52" t="n"/>
      <c r="I367" s="51" t="n"/>
      <c r="J367" s="51" t="n"/>
      <c r="K367" s="52" t="n"/>
      <c r="L367" s="53" t="str">
        <f>IF(AND(IF(ISNUMBER(F367),AND(F367&gt;=1,F367&lt;=10,F367=INT(F367)),FALSE),IF(ISNUMBER(H367),AND(H367&gt;=1,H367&lt;=10,H367=INT(H367)),FALSE),IF(ISNUMBER(K367),AND(K367&gt;=1,K367&lt;=10,K367=INT(K367)),FALSE)),F367*H367*K367,"")</f>
        <v/>
      </c>
      <c r="M367" s="54" t="str">
        <f>IF(L367="",IF(D367="","","À coter"),IF(OR(F367&gt;=p_gmin,L367&gt;=p_ipr_crit),"Critique",IF(L367&gt;=p_ipr_act,"Élevée",IF(L367&gt;=p_ipr_watch,"Moyenne","Faible"))))</f>
        <v/>
      </c>
      <c r="N367" s="54" t="str">
        <f>IF(OR(M367="",M367="À coter"),"",IF(OR(M367="Critique",M367="Élevée"),"Oui","Non"))</f>
        <v/>
      </c>
      <c r="O367" s="51" t="n"/>
      <c r="P367" s="51" t="n"/>
      <c r="Q367" s="55" t="n"/>
      <c r="R367" s="50" t="n"/>
      <c r="S367" s="55" t="n"/>
      <c r="T367" s="56" t="n"/>
      <c r="U367" s="52" t="n"/>
      <c r="V367" s="52" t="n"/>
      <c r="W367" s="52" t="n"/>
      <c r="X367" s="53" t="str">
        <f>IF(AND(L367&lt;&gt;"",IF(ISNUMBER(U367),AND(U367&gt;=1,U367&lt;=10,U367=INT(U367)),FALSE),IF(ISNUMBER(V367),AND(V367&gt;=1,V367&lt;=10,V367=INT(V367)),FALSE),IF(ISNUMBER(W367),AND(W367&gt;=1,W367&lt;=10,W367=INT(W367)),FALSE)),U367*V367*W367,"")</f>
        <v/>
      </c>
      <c r="Y367" s="54" t="str">
        <f>IF(X367="","",IF(OR(U367&gt;=p_gmin,X367&gt;=p_ipr_crit),"Critique",IF(X367&gt;=p_ipr_act,"Élevée",IF(X367&gt;=p_ipr_watch,"Moyenne","Faible"))))</f>
        <v/>
      </c>
      <c r="Z367" s="57" t="str">
        <f>IF(X367="","",(L367-X367)/L367)</f>
        <v/>
      </c>
      <c r="AA367" s="54" t="str">
        <f>IF(AND(D367="",O367=""),"",IF(O367="",IF(N367="Oui","Action à définir",IF(N367="Non","Sans action","")),IF(R367="Annulée","Annulée",IF(R367="Réalisée",IF(X367="","À réévaluer","Réalisée"),IF(N(Q367)=0,"Échéance manquante",IF(Q367&lt;p_today,"En retard",IF(Q367-p_today&lt;=p_alert,"Échéance proche","Dans les délais")))))))</f>
        <v/>
      </c>
      <c r="AB367" s="58" t="str">
        <f>IF(AND(A367="",B367="",D367="",F367="",H367="",K367="",O367=""),"",IF(D367="","Mode de défaillance manquant",IF(AND(A367&lt;&gt;"",COUNTIF(am_num,A367)&gt;1),"N° en double",IF(F367="","Gravité G manquante",IF(NOT(IF(ISNUMBER(F367),AND(F367&gt;=1,F367&lt;=10,F367=INT(F367)),FALSE)),"G : entier de 1 à 10",IF(H367="","Occurrence O manquante",IF(NOT(IF(ISNUMBER(H367),AND(H367&gt;=1,H367&lt;=10,H367=INT(H367)),FALSE)),"O : entier de 1 à 10",IF(K367="","Détection D manquante",IF(NOT(IF(ISNUMBER(K367),AND(K367&gt;=1,K367&lt;=10,K367=INT(K367)),FALSE)),"D : entier de 1 à 10",IF(G367="","Cause manquante",IF(AND(O367&lt;&gt;"",P367=""),"Responsable manquant",IF(AND(R367&lt;&gt;"",O367=""),"Statut sans action",IF(AND(R367="Réalisée",N(S367)=0),"Date de réalisation manquante",IF(AND(T367&lt;&gt;"",IF(ISNUMBER(T367),T367&lt;0,TRUE)),"Coût invalide",IF(AND(COUNTBLANK(U367:W367)&gt;0,COUNTBLANK(U367:W367)&lt;3),"Cotation après action incomplète",IF(AND(COUNTBLANK(U367:W367)=0,X367=""),"G', O', D' : entiers de 1 à 10",IF(AND(X367&lt;&gt;"",X367&gt;L367),"IPR après action plus élevé","OK")))))))))))))))))</f>
        <v/>
      </c>
      <c r="AC367" s="59" t="str">
        <f>IF(OR(AA367="En retard",AA367="Échéance proche",AA367="Dans les délais",AA367="Échéance manquante",AA367="Action à définir",AA367="À réévaluer"),IF(OR(plan_who="",P367=plan_who),IF(N(Q367)&gt;0,Q367,99999)*1000+ROW(),""),"")</f>
        <v/>
      </c>
      <c r="AD367" s="59" t="str">
        <f>IF(L367="","",L367*1000+1000-ROW())</f>
        <v/>
      </c>
      <c r="AE367" s="59" t="str">
        <f>IF(IF(AA367="En retard",1,IF(AA367="Action à définir",2,IF(AA367="Échéance manquante",3,IF(AA367="Échéance proche",4,IF(AA367="À réévaluer",5,0)))))=0,"",IF(AA367="En retard",1,IF(AA367="Action à définir",2,IF(AA367="Échéance manquante",3,IF(AA367="Échéance proche",4,IF(AA367="À réévaluer",5,0)))))*100000000+IF(N(Q367)&gt;0,Q367,99999)*1000+ROW())</f>
        <v/>
      </c>
      <c r="AF367" s="59" t="str">
        <f>IF(X367&lt;&gt;"",X367,L367)</f>
        <v/>
      </c>
      <c r="AG367" s="59" t="str">
        <f>IF(X367&lt;&gt;"",Y367,IF(L367&lt;&gt;"",M367,""))</f>
        <v/>
      </c>
      <c r="AH367" s="59" t="str">
        <f>IF(L367="","",IF(X367&lt;&gt;"",U367,F367))</f>
        <v/>
      </c>
      <c r="AI367" s="59" t="str">
        <f>IF(L367="","",IF(X367&lt;&gt;"",V367,H367))</f>
        <v/>
      </c>
    </row>
    <row r="368" ht="30" customHeight="1">
      <c r="A368" s="50" t="n"/>
      <c r="B368" s="51" t="n"/>
      <c r="C368" s="51" t="n"/>
      <c r="D368" s="51" t="n"/>
      <c r="E368" s="51" t="n"/>
      <c r="F368" s="52" t="n"/>
      <c r="G368" s="51" t="n"/>
      <c r="H368" s="52" t="n"/>
      <c r="I368" s="51" t="n"/>
      <c r="J368" s="51" t="n"/>
      <c r="K368" s="52" t="n"/>
      <c r="L368" s="53" t="str">
        <f>IF(AND(IF(ISNUMBER(F368),AND(F368&gt;=1,F368&lt;=10,F368=INT(F368)),FALSE),IF(ISNUMBER(H368),AND(H368&gt;=1,H368&lt;=10,H368=INT(H368)),FALSE),IF(ISNUMBER(K368),AND(K368&gt;=1,K368&lt;=10,K368=INT(K368)),FALSE)),F368*H368*K368,"")</f>
        <v/>
      </c>
      <c r="M368" s="54" t="str">
        <f>IF(L368="",IF(D368="","","À coter"),IF(OR(F368&gt;=p_gmin,L368&gt;=p_ipr_crit),"Critique",IF(L368&gt;=p_ipr_act,"Élevée",IF(L368&gt;=p_ipr_watch,"Moyenne","Faible"))))</f>
        <v/>
      </c>
      <c r="N368" s="54" t="str">
        <f>IF(OR(M368="",M368="À coter"),"",IF(OR(M368="Critique",M368="Élevée"),"Oui","Non"))</f>
        <v/>
      </c>
      <c r="O368" s="51" t="n"/>
      <c r="P368" s="51" t="n"/>
      <c r="Q368" s="55" t="n"/>
      <c r="R368" s="50" t="n"/>
      <c r="S368" s="55" t="n"/>
      <c r="T368" s="56" t="n"/>
      <c r="U368" s="52" t="n"/>
      <c r="V368" s="52" t="n"/>
      <c r="W368" s="52" t="n"/>
      <c r="X368" s="53" t="str">
        <f>IF(AND(L368&lt;&gt;"",IF(ISNUMBER(U368),AND(U368&gt;=1,U368&lt;=10,U368=INT(U368)),FALSE),IF(ISNUMBER(V368),AND(V368&gt;=1,V368&lt;=10,V368=INT(V368)),FALSE),IF(ISNUMBER(W368),AND(W368&gt;=1,W368&lt;=10,W368=INT(W368)),FALSE)),U368*V368*W368,"")</f>
        <v/>
      </c>
      <c r="Y368" s="54" t="str">
        <f>IF(X368="","",IF(OR(U368&gt;=p_gmin,X368&gt;=p_ipr_crit),"Critique",IF(X368&gt;=p_ipr_act,"Élevée",IF(X368&gt;=p_ipr_watch,"Moyenne","Faible"))))</f>
        <v/>
      </c>
      <c r="Z368" s="57" t="str">
        <f>IF(X368="","",(L368-X368)/L368)</f>
        <v/>
      </c>
      <c r="AA368" s="54" t="str">
        <f>IF(AND(D368="",O368=""),"",IF(O368="",IF(N368="Oui","Action à définir",IF(N368="Non","Sans action","")),IF(R368="Annulée","Annulée",IF(R368="Réalisée",IF(X368="","À réévaluer","Réalisée"),IF(N(Q368)=0,"Échéance manquante",IF(Q368&lt;p_today,"En retard",IF(Q368-p_today&lt;=p_alert,"Échéance proche","Dans les délais")))))))</f>
        <v/>
      </c>
      <c r="AB368" s="58" t="str">
        <f>IF(AND(A368="",B368="",D368="",F368="",H368="",K368="",O368=""),"",IF(D368="","Mode de défaillance manquant",IF(AND(A368&lt;&gt;"",COUNTIF(am_num,A368)&gt;1),"N° en double",IF(F368="","Gravité G manquante",IF(NOT(IF(ISNUMBER(F368),AND(F368&gt;=1,F368&lt;=10,F368=INT(F368)),FALSE)),"G : entier de 1 à 10",IF(H368="","Occurrence O manquante",IF(NOT(IF(ISNUMBER(H368),AND(H368&gt;=1,H368&lt;=10,H368=INT(H368)),FALSE)),"O : entier de 1 à 10",IF(K368="","Détection D manquante",IF(NOT(IF(ISNUMBER(K368),AND(K368&gt;=1,K368&lt;=10,K368=INT(K368)),FALSE)),"D : entier de 1 à 10",IF(G368="","Cause manquante",IF(AND(O368&lt;&gt;"",P368=""),"Responsable manquant",IF(AND(R368&lt;&gt;"",O368=""),"Statut sans action",IF(AND(R368="Réalisée",N(S368)=0),"Date de réalisation manquante",IF(AND(T368&lt;&gt;"",IF(ISNUMBER(T368),T368&lt;0,TRUE)),"Coût invalide",IF(AND(COUNTBLANK(U368:W368)&gt;0,COUNTBLANK(U368:W368)&lt;3),"Cotation après action incomplète",IF(AND(COUNTBLANK(U368:W368)=0,X368=""),"G', O', D' : entiers de 1 à 10",IF(AND(X368&lt;&gt;"",X368&gt;L368),"IPR après action plus élevé","OK")))))))))))))))))</f>
        <v/>
      </c>
      <c r="AC368" s="59" t="str">
        <f>IF(OR(AA368="En retard",AA368="Échéance proche",AA368="Dans les délais",AA368="Échéance manquante",AA368="Action à définir",AA368="À réévaluer"),IF(OR(plan_who="",P368=plan_who),IF(N(Q368)&gt;0,Q368,99999)*1000+ROW(),""),"")</f>
        <v/>
      </c>
      <c r="AD368" s="59" t="str">
        <f>IF(L368="","",L368*1000+1000-ROW())</f>
        <v/>
      </c>
      <c r="AE368" s="59" t="str">
        <f>IF(IF(AA368="En retard",1,IF(AA368="Action à définir",2,IF(AA368="Échéance manquante",3,IF(AA368="Échéance proche",4,IF(AA368="À réévaluer",5,0)))))=0,"",IF(AA368="En retard",1,IF(AA368="Action à définir",2,IF(AA368="Échéance manquante",3,IF(AA368="Échéance proche",4,IF(AA368="À réévaluer",5,0)))))*100000000+IF(N(Q368)&gt;0,Q368,99999)*1000+ROW())</f>
        <v/>
      </c>
      <c r="AF368" s="59" t="str">
        <f>IF(X368&lt;&gt;"",X368,L368)</f>
        <v/>
      </c>
      <c r="AG368" s="59" t="str">
        <f>IF(X368&lt;&gt;"",Y368,IF(L368&lt;&gt;"",M368,""))</f>
        <v/>
      </c>
      <c r="AH368" s="59" t="str">
        <f>IF(L368="","",IF(X368&lt;&gt;"",U368,F368))</f>
        <v/>
      </c>
      <c r="AI368" s="59" t="str">
        <f>IF(L368="","",IF(X368&lt;&gt;"",V368,H368))</f>
        <v/>
      </c>
    </row>
    <row r="369" ht="30" customHeight="1">
      <c r="A369" s="50" t="n"/>
      <c r="B369" s="51" t="n"/>
      <c r="C369" s="51" t="n"/>
      <c r="D369" s="51" t="n"/>
      <c r="E369" s="51" t="n"/>
      <c r="F369" s="52" t="n"/>
      <c r="G369" s="51" t="n"/>
      <c r="H369" s="52" t="n"/>
      <c r="I369" s="51" t="n"/>
      <c r="J369" s="51" t="n"/>
      <c r="K369" s="52" t="n"/>
      <c r="L369" s="53" t="str">
        <f>IF(AND(IF(ISNUMBER(F369),AND(F369&gt;=1,F369&lt;=10,F369=INT(F369)),FALSE),IF(ISNUMBER(H369),AND(H369&gt;=1,H369&lt;=10,H369=INT(H369)),FALSE),IF(ISNUMBER(K369),AND(K369&gt;=1,K369&lt;=10,K369=INT(K369)),FALSE)),F369*H369*K369,"")</f>
        <v/>
      </c>
      <c r="M369" s="54" t="str">
        <f>IF(L369="",IF(D369="","","À coter"),IF(OR(F369&gt;=p_gmin,L369&gt;=p_ipr_crit),"Critique",IF(L369&gt;=p_ipr_act,"Élevée",IF(L369&gt;=p_ipr_watch,"Moyenne","Faible"))))</f>
        <v/>
      </c>
      <c r="N369" s="54" t="str">
        <f>IF(OR(M369="",M369="À coter"),"",IF(OR(M369="Critique",M369="Élevée"),"Oui","Non"))</f>
        <v/>
      </c>
      <c r="O369" s="51" t="n"/>
      <c r="P369" s="51" t="n"/>
      <c r="Q369" s="55" t="n"/>
      <c r="R369" s="50" t="n"/>
      <c r="S369" s="55" t="n"/>
      <c r="T369" s="56" t="n"/>
      <c r="U369" s="52" t="n"/>
      <c r="V369" s="52" t="n"/>
      <c r="W369" s="52" t="n"/>
      <c r="X369" s="53" t="str">
        <f>IF(AND(L369&lt;&gt;"",IF(ISNUMBER(U369),AND(U369&gt;=1,U369&lt;=10,U369=INT(U369)),FALSE),IF(ISNUMBER(V369),AND(V369&gt;=1,V369&lt;=10,V369=INT(V369)),FALSE),IF(ISNUMBER(W369),AND(W369&gt;=1,W369&lt;=10,W369=INT(W369)),FALSE)),U369*V369*W369,"")</f>
        <v/>
      </c>
      <c r="Y369" s="54" t="str">
        <f>IF(X369="","",IF(OR(U369&gt;=p_gmin,X369&gt;=p_ipr_crit),"Critique",IF(X369&gt;=p_ipr_act,"Élevée",IF(X369&gt;=p_ipr_watch,"Moyenne","Faible"))))</f>
        <v/>
      </c>
      <c r="Z369" s="57" t="str">
        <f>IF(X369="","",(L369-X369)/L369)</f>
        <v/>
      </c>
      <c r="AA369" s="54" t="str">
        <f>IF(AND(D369="",O369=""),"",IF(O369="",IF(N369="Oui","Action à définir",IF(N369="Non","Sans action","")),IF(R369="Annulée","Annulée",IF(R369="Réalisée",IF(X369="","À réévaluer","Réalisée"),IF(N(Q369)=0,"Échéance manquante",IF(Q369&lt;p_today,"En retard",IF(Q369-p_today&lt;=p_alert,"Échéance proche","Dans les délais")))))))</f>
        <v/>
      </c>
      <c r="AB369" s="58" t="str">
        <f>IF(AND(A369="",B369="",D369="",F369="",H369="",K369="",O369=""),"",IF(D369="","Mode de défaillance manquant",IF(AND(A369&lt;&gt;"",COUNTIF(am_num,A369)&gt;1),"N° en double",IF(F369="","Gravité G manquante",IF(NOT(IF(ISNUMBER(F369),AND(F369&gt;=1,F369&lt;=10,F369=INT(F369)),FALSE)),"G : entier de 1 à 10",IF(H369="","Occurrence O manquante",IF(NOT(IF(ISNUMBER(H369),AND(H369&gt;=1,H369&lt;=10,H369=INT(H369)),FALSE)),"O : entier de 1 à 10",IF(K369="","Détection D manquante",IF(NOT(IF(ISNUMBER(K369),AND(K369&gt;=1,K369&lt;=10,K369=INT(K369)),FALSE)),"D : entier de 1 à 10",IF(G369="","Cause manquante",IF(AND(O369&lt;&gt;"",P369=""),"Responsable manquant",IF(AND(R369&lt;&gt;"",O369=""),"Statut sans action",IF(AND(R369="Réalisée",N(S369)=0),"Date de réalisation manquante",IF(AND(T369&lt;&gt;"",IF(ISNUMBER(T369),T369&lt;0,TRUE)),"Coût invalide",IF(AND(COUNTBLANK(U369:W369)&gt;0,COUNTBLANK(U369:W369)&lt;3),"Cotation après action incomplète",IF(AND(COUNTBLANK(U369:W369)=0,X369=""),"G', O', D' : entiers de 1 à 10",IF(AND(X369&lt;&gt;"",X369&gt;L369),"IPR après action plus élevé","OK")))))))))))))))))</f>
        <v/>
      </c>
      <c r="AC369" s="59" t="str">
        <f>IF(OR(AA369="En retard",AA369="Échéance proche",AA369="Dans les délais",AA369="Échéance manquante",AA369="Action à définir",AA369="À réévaluer"),IF(OR(plan_who="",P369=plan_who),IF(N(Q369)&gt;0,Q369,99999)*1000+ROW(),""),"")</f>
        <v/>
      </c>
      <c r="AD369" s="59" t="str">
        <f>IF(L369="","",L369*1000+1000-ROW())</f>
        <v/>
      </c>
      <c r="AE369" s="59" t="str">
        <f>IF(IF(AA369="En retard",1,IF(AA369="Action à définir",2,IF(AA369="Échéance manquante",3,IF(AA369="Échéance proche",4,IF(AA369="À réévaluer",5,0)))))=0,"",IF(AA369="En retard",1,IF(AA369="Action à définir",2,IF(AA369="Échéance manquante",3,IF(AA369="Échéance proche",4,IF(AA369="À réévaluer",5,0)))))*100000000+IF(N(Q369)&gt;0,Q369,99999)*1000+ROW())</f>
        <v/>
      </c>
      <c r="AF369" s="59" t="str">
        <f>IF(X369&lt;&gt;"",X369,L369)</f>
        <v/>
      </c>
      <c r="AG369" s="59" t="str">
        <f>IF(X369&lt;&gt;"",Y369,IF(L369&lt;&gt;"",M369,""))</f>
        <v/>
      </c>
      <c r="AH369" s="59" t="str">
        <f>IF(L369="","",IF(X369&lt;&gt;"",U369,F369))</f>
        <v/>
      </c>
      <c r="AI369" s="59" t="str">
        <f>IF(L369="","",IF(X369&lt;&gt;"",V369,H369))</f>
        <v/>
      </c>
    </row>
    <row r="370" ht="30" customHeight="1">
      <c r="A370" s="50" t="n"/>
      <c r="B370" s="51" t="n"/>
      <c r="C370" s="51" t="n"/>
      <c r="D370" s="51" t="n"/>
      <c r="E370" s="51" t="n"/>
      <c r="F370" s="52" t="n"/>
      <c r="G370" s="51" t="n"/>
      <c r="H370" s="52" t="n"/>
      <c r="I370" s="51" t="n"/>
      <c r="J370" s="51" t="n"/>
      <c r="K370" s="52" t="n"/>
      <c r="L370" s="53" t="str">
        <f>IF(AND(IF(ISNUMBER(F370),AND(F370&gt;=1,F370&lt;=10,F370=INT(F370)),FALSE),IF(ISNUMBER(H370),AND(H370&gt;=1,H370&lt;=10,H370=INT(H370)),FALSE),IF(ISNUMBER(K370),AND(K370&gt;=1,K370&lt;=10,K370=INT(K370)),FALSE)),F370*H370*K370,"")</f>
        <v/>
      </c>
      <c r="M370" s="54" t="str">
        <f>IF(L370="",IF(D370="","","À coter"),IF(OR(F370&gt;=p_gmin,L370&gt;=p_ipr_crit),"Critique",IF(L370&gt;=p_ipr_act,"Élevée",IF(L370&gt;=p_ipr_watch,"Moyenne","Faible"))))</f>
        <v/>
      </c>
      <c r="N370" s="54" t="str">
        <f>IF(OR(M370="",M370="À coter"),"",IF(OR(M370="Critique",M370="Élevée"),"Oui","Non"))</f>
        <v/>
      </c>
      <c r="O370" s="51" t="n"/>
      <c r="P370" s="51" t="n"/>
      <c r="Q370" s="55" t="n"/>
      <c r="R370" s="50" t="n"/>
      <c r="S370" s="55" t="n"/>
      <c r="T370" s="56" t="n"/>
      <c r="U370" s="52" t="n"/>
      <c r="V370" s="52" t="n"/>
      <c r="W370" s="52" t="n"/>
      <c r="X370" s="53" t="str">
        <f>IF(AND(L370&lt;&gt;"",IF(ISNUMBER(U370),AND(U370&gt;=1,U370&lt;=10,U370=INT(U370)),FALSE),IF(ISNUMBER(V370),AND(V370&gt;=1,V370&lt;=10,V370=INT(V370)),FALSE),IF(ISNUMBER(W370),AND(W370&gt;=1,W370&lt;=10,W370=INT(W370)),FALSE)),U370*V370*W370,"")</f>
        <v/>
      </c>
      <c r="Y370" s="54" t="str">
        <f>IF(X370="","",IF(OR(U370&gt;=p_gmin,X370&gt;=p_ipr_crit),"Critique",IF(X370&gt;=p_ipr_act,"Élevée",IF(X370&gt;=p_ipr_watch,"Moyenne","Faible"))))</f>
        <v/>
      </c>
      <c r="Z370" s="57" t="str">
        <f>IF(X370="","",(L370-X370)/L370)</f>
        <v/>
      </c>
      <c r="AA370" s="54" t="str">
        <f>IF(AND(D370="",O370=""),"",IF(O370="",IF(N370="Oui","Action à définir",IF(N370="Non","Sans action","")),IF(R370="Annulée","Annulée",IF(R370="Réalisée",IF(X370="","À réévaluer","Réalisée"),IF(N(Q370)=0,"Échéance manquante",IF(Q370&lt;p_today,"En retard",IF(Q370-p_today&lt;=p_alert,"Échéance proche","Dans les délais")))))))</f>
        <v/>
      </c>
      <c r="AB370" s="58" t="str">
        <f>IF(AND(A370="",B370="",D370="",F370="",H370="",K370="",O370=""),"",IF(D370="","Mode de défaillance manquant",IF(AND(A370&lt;&gt;"",COUNTIF(am_num,A370)&gt;1),"N° en double",IF(F370="","Gravité G manquante",IF(NOT(IF(ISNUMBER(F370),AND(F370&gt;=1,F370&lt;=10,F370=INT(F370)),FALSE)),"G : entier de 1 à 10",IF(H370="","Occurrence O manquante",IF(NOT(IF(ISNUMBER(H370),AND(H370&gt;=1,H370&lt;=10,H370=INT(H370)),FALSE)),"O : entier de 1 à 10",IF(K370="","Détection D manquante",IF(NOT(IF(ISNUMBER(K370),AND(K370&gt;=1,K370&lt;=10,K370=INT(K370)),FALSE)),"D : entier de 1 à 10",IF(G370="","Cause manquante",IF(AND(O370&lt;&gt;"",P370=""),"Responsable manquant",IF(AND(R370&lt;&gt;"",O370=""),"Statut sans action",IF(AND(R370="Réalisée",N(S370)=0),"Date de réalisation manquante",IF(AND(T370&lt;&gt;"",IF(ISNUMBER(T370),T370&lt;0,TRUE)),"Coût invalide",IF(AND(COUNTBLANK(U370:W370)&gt;0,COUNTBLANK(U370:W370)&lt;3),"Cotation après action incomplète",IF(AND(COUNTBLANK(U370:W370)=0,X370=""),"G', O', D' : entiers de 1 à 10",IF(AND(X370&lt;&gt;"",X370&gt;L370),"IPR après action plus élevé","OK")))))))))))))))))</f>
        <v/>
      </c>
      <c r="AC370" s="59" t="str">
        <f>IF(OR(AA370="En retard",AA370="Échéance proche",AA370="Dans les délais",AA370="Échéance manquante",AA370="Action à définir",AA370="À réévaluer"),IF(OR(plan_who="",P370=plan_who),IF(N(Q370)&gt;0,Q370,99999)*1000+ROW(),""),"")</f>
        <v/>
      </c>
      <c r="AD370" s="59" t="str">
        <f>IF(L370="","",L370*1000+1000-ROW())</f>
        <v/>
      </c>
      <c r="AE370" s="59" t="str">
        <f>IF(IF(AA370="En retard",1,IF(AA370="Action à définir",2,IF(AA370="Échéance manquante",3,IF(AA370="Échéance proche",4,IF(AA370="À réévaluer",5,0)))))=0,"",IF(AA370="En retard",1,IF(AA370="Action à définir",2,IF(AA370="Échéance manquante",3,IF(AA370="Échéance proche",4,IF(AA370="À réévaluer",5,0)))))*100000000+IF(N(Q370)&gt;0,Q370,99999)*1000+ROW())</f>
        <v/>
      </c>
      <c r="AF370" s="59" t="str">
        <f>IF(X370&lt;&gt;"",X370,L370)</f>
        <v/>
      </c>
      <c r="AG370" s="59" t="str">
        <f>IF(X370&lt;&gt;"",Y370,IF(L370&lt;&gt;"",M370,""))</f>
        <v/>
      </c>
      <c r="AH370" s="59" t="str">
        <f>IF(L370="","",IF(X370&lt;&gt;"",U370,F370))</f>
        <v/>
      </c>
      <c r="AI370" s="59" t="str">
        <f>IF(L370="","",IF(X370&lt;&gt;"",V370,H370))</f>
        <v/>
      </c>
    </row>
    <row r="371" ht="30" customHeight="1">
      <c r="A371" s="50" t="n"/>
      <c r="B371" s="51" t="n"/>
      <c r="C371" s="51" t="n"/>
      <c r="D371" s="51" t="n"/>
      <c r="E371" s="51" t="n"/>
      <c r="F371" s="52" t="n"/>
      <c r="G371" s="51" t="n"/>
      <c r="H371" s="52" t="n"/>
      <c r="I371" s="51" t="n"/>
      <c r="J371" s="51" t="n"/>
      <c r="K371" s="52" t="n"/>
      <c r="L371" s="53" t="str">
        <f>IF(AND(IF(ISNUMBER(F371),AND(F371&gt;=1,F371&lt;=10,F371=INT(F371)),FALSE),IF(ISNUMBER(H371),AND(H371&gt;=1,H371&lt;=10,H371=INT(H371)),FALSE),IF(ISNUMBER(K371),AND(K371&gt;=1,K371&lt;=10,K371=INT(K371)),FALSE)),F371*H371*K371,"")</f>
        <v/>
      </c>
      <c r="M371" s="54" t="str">
        <f>IF(L371="",IF(D371="","","À coter"),IF(OR(F371&gt;=p_gmin,L371&gt;=p_ipr_crit),"Critique",IF(L371&gt;=p_ipr_act,"Élevée",IF(L371&gt;=p_ipr_watch,"Moyenne","Faible"))))</f>
        <v/>
      </c>
      <c r="N371" s="54" t="str">
        <f>IF(OR(M371="",M371="À coter"),"",IF(OR(M371="Critique",M371="Élevée"),"Oui","Non"))</f>
        <v/>
      </c>
      <c r="O371" s="51" t="n"/>
      <c r="P371" s="51" t="n"/>
      <c r="Q371" s="55" t="n"/>
      <c r="R371" s="50" t="n"/>
      <c r="S371" s="55" t="n"/>
      <c r="T371" s="56" t="n"/>
      <c r="U371" s="52" t="n"/>
      <c r="V371" s="52" t="n"/>
      <c r="W371" s="52" t="n"/>
      <c r="X371" s="53" t="str">
        <f>IF(AND(L371&lt;&gt;"",IF(ISNUMBER(U371),AND(U371&gt;=1,U371&lt;=10,U371=INT(U371)),FALSE),IF(ISNUMBER(V371),AND(V371&gt;=1,V371&lt;=10,V371=INT(V371)),FALSE),IF(ISNUMBER(W371),AND(W371&gt;=1,W371&lt;=10,W371=INT(W371)),FALSE)),U371*V371*W371,"")</f>
        <v/>
      </c>
      <c r="Y371" s="54" t="str">
        <f>IF(X371="","",IF(OR(U371&gt;=p_gmin,X371&gt;=p_ipr_crit),"Critique",IF(X371&gt;=p_ipr_act,"Élevée",IF(X371&gt;=p_ipr_watch,"Moyenne","Faible"))))</f>
        <v/>
      </c>
      <c r="Z371" s="57" t="str">
        <f>IF(X371="","",(L371-X371)/L371)</f>
        <v/>
      </c>
      <c r="AA371" s="54" t="str">
        <f>IF(AND(D371="",O371=""),"",IF(O371="",IF(N371="Oui","Action à définir",IF(N371="Non","Sans action","")),IF(R371="Annulée","Annulée",IF(R371="Réalisée",IF(X371="","À réévaluer","Réalisée"),IF(N(Q371)=0,"Échéance manquante",IF(Q371&lt;p_today,"En retard",IF(Q371-p_today&lt;=p_alert,"Échéance proche","Dans les délais")))))))</f>
        <v/>
      </c>
      <c r="AB371" s="58" t="str">
        <f>IF(AND(A371="",B371="",D371="",F371="",H371="",K371="",O371=""),"",IF(D371="","Mode de défaillance manquant",IF(AND(A371&lt;&gt;"",COUNTIF(am_num,A371)&gt;1),"N° en double",IF(F371="","Gravité G manquante",IF(NOT(IF(ISNUMBER(F371),AND(F371&gt;=1,F371&lt;=10,F371=INT(F371)),FALSE)),"G : entier de 1 à 10",IF(H371="","Occurrence O manquante",IF(NOT(IF(ISNUMBER(H371),AND(H371&gt;=1,H371&lt;=10,H371=INT(H371)),FALSE)),"O : entier de 1 à 10",IF(K371="","Détection D manquante",IF(NOT(IF(ISNUMBER(K371),AND(K371&gt;=1,K371&lt;=10,K371=INT(K371)),FALSE)),"D : entier de 1 à 10",IF(G371="","Cause manquante",IF(AND(O371&lt;&gt;"",P371=""),"Responsable manquant",IF(AND(R371&lt;&gt;"",O371=""),"Statut sans action",IF(AND(R371="Réalisée",N(S371)=0),"Date de réalisation manquante",IF(AND(T371&lt;&gt;"",IF(ISNUMBER(T371),T371&lt;0,TRUE)),"Coût invalide",IF(AND(COUNTBLANK(U371:W371)&gt;0,COUNTBLANK(U371:W371)&lt;3),"Cotation après action incomplète",IF(AND(COUNTBLANK(U371:W371)=0,X371=""),"G', O', D' : entiers de 1 à 10",IF(AND(X371&lt;&gt;"",X371&gt;L371),"IPR après action plus élevé","OK")))))))))))))))))</f>
        <v/>
      </c>
      <c r="AC371" s="59" t="str">
        <f>IF(OR(AA371="En retard",AA371="Échéance proche",AA371="Dans les délais",AA371="Échéance manquante",AA371="Action à définir",AA371="À réévaluer"),IF(OR(plan_who="",P371=plan_who),IF(N(Q371)&gt;0,Q371,99999)*1000+ROW(),""),"")</f>
        <v/>
      </c>
      <c r="AD371" s="59" t="str">
        <f>IF(L371="","",L371*1000+1000-ROW())</f>
        <v/>
      </c>
      <c r="AE371" s="59" t="str">
        <f>IF(IF(AA371="En retard",1,IF(AA371="Action à définir",2,IF(AA371="Échéance manquante",3,IF(AA371="Échéance proche",4,IF(AA371="À réévaluer",5,0)))))=0,"",IF(AA371="En retard",1,IF(AA371="Action à définir",2,IF(AA371="Échéance manquante",3,IF(AA371="Échéance proche",4,IF(AA371="À réévaluer",5,0)))))*100000000+IF(N(Q371)&gt;0,Q371,99999)*1000+ROW())</f>
        <v/>
      </c>
      <c r="AF371" s="59" t="str">
        <f>IF(X371&lt;&gt;"",X371,L371)</f>
        <v/>
      </c>
      <c r="AG371" s="59" t="str">
        <f>IF(X371&lt;&gt;"",Y371,IF(L371&lt;&gt;"",M371,""))</f>
        <v/>
      </c>
      <c r="AH371" s="59" t="str">
        <f>IF(L371="","",IF(X371&lt;&gt;"",U371,F371))</f>
        <v/>
      </c>
      <c r="AI371" s="59" t="str">
        <f>IF(L371="","",IF(X371&lt;&gt;"",V371,H371))</f>
        <v/>
      </c>
    </row>
    <row r="372" ht="30" customHeight="1">
      <c r="A372" s="50" t="n"/>
      <c r="B372" s="51" t="n"/>
      <c r="C372" s="51" t="n"/>
      <c r="D372" s="51" t="n"/>
      <c r="E372" s="51" t="n"/>
      <c r="F372" s="52" t="n"/>
      <c r="G372" s="51" t="n"/>
      <c r="H372" s="52" t="n"/>
      <c r="I372" s="51" t="n"/>
      <c r="J372" s="51" t="n"/>
      <c r="K372" s="52" t="n"/>
      <c r="L372" s="53" t="str">
        <f>IF(AND(IF(ISNUMBER(F372),AND(F372&gt;=1,F372&lt;=10,F372=INT(F372)),FALSE),IF(ISNUMBER(H372),AND(H372&gt;=1,H372&lt;=10,H372=INT(H372)),FALSE),IF(ISNUMBER(K372),AND(K372&gt;=1,K372&lt;=10,K372=INT(K372)),FALSE)),F372*H372*K372,"")</f>
        <v/>
      </c>
      <c r="M372" s="54" t="str">
        <f>IF(L372="",IF(D372="","","À coter"),IF(OR(F372&gt;=p_gmin,L372&gt;=p_ipr_crit),"Critique",IF(L372&gt;=p_ipr_act,"Élevée",IF(L372&gt;=p_ipr_watch,"Moyenne","Faible"))))</f>
        <v/>
      </c>
      <c r="N372" s="54" t="str">
        <f>IF(OR(M372="",M372="À coter"),"",IF(OR(M372="Critique",M372="Élevée"),"Oui","Non"))</f>
        <v/>
      </c>
      <c r="O372" s="51" t="n"/>
      <c r="P372" s="51" t="n"/>
      <c r="Q372" s="55" t="n"/>
      <c r="R372" s="50" t="n"/>
      <c r="S372" s="55" t="n"/>
      <c r="T372" s="56" t="n"/>
      <c r="U372" s="52" t="n"/>
      <c r="V372" s="52" t="n"/>
      <c r="W372" s="52" t="n"/>
      <c r="X372" s="53" t="str">
        <f>IF(AND(L372&lt;&gt;"",IF(ISNUMBER(U372),AND(U372&gt;=1,U372&lt;=10,U372=INT(U372)),FALSE),IF(ISNUMBER(V372),AND(V372&gt;=1,V372&lt;=10,V372=INT(V372)),FALSE),IF(ISNUMBER(W372),AND(W372&gt;=1,W372&lt;=10,W372=INT(W372)),FALSE)),U372*V372*W372,"")</f>
        <v/>
      </c>
      <c r="Y372" s="54" t="str">
        <f>IF(X372="","",IF(OR(U372&gt;=p_gmin,X372&gt;=p_ipr_crit),"Critique",IF(X372&gt;=p_ipr_act,"Élevée",IF(X372&gt;=p_ipr_watch,"Moyenne","Faible"))))</f>
        <v/>
      </c>
      <c r="Z372" s="57" t="str">
        <f>IF(X372="","",(L372-X372)/L372)</f>
        <v/>
      </c>
      <c r="AA372" s="54" t="str">
        <f>IF(AND(D372="",O372=""),"",IF(O372="",IF(N372="Oui","Action à définir",IF(N372="Non","Sans action","")),IF(R372="Annulée","Annulée",IF(R372="Réalisée",IF(X372="","À réévaluer","Réalisée"),IF(N(Q372)=0,"Échéance manquante",IF(Q372&lt;p_today,"En retard",IF(Q372-p_today&lt;=p_alert,"Échéance proche","Dans les délais")))))))</f>
        <v/>
      </c>
      <c r="AB372" s="58" t="str">
        <f>IF(AND(A372="",B372="",D372="",F372="",H372="",K372="",O372=""),"",IF(D372="","Mode de défaillance manquant",IF(AND(A372&lt;&gt;"",COUNTIF(am_num,A372)&gt;1),"N° en double",IF(F372="","Gravité G manquante",IF(NOT(IF(ISNUMBER(F372),AND(F372&gt;=1,F372&lt;=10,F372=INT(F372)),FALSE)),"G : entier de 1 à 10",IF(H372="","Occurrence O manquante",IF(NOT(IF(ISNUMBER(H372),AND(H372&gt;=1,H372&lt;=10,H372=INT(H372)),FALSE)),"O : entier de 1 à 10",IF(K372="","Détection D manquante",IF(NOT(IF(ISNUMBER(K372),AND(K372&gt;=1,K372&lt;=10,K372=INT(K372)),FALSE)),"D : entier de 1 à 10",IF(G372="","Cause manquante",IF(AND(O372&lt;&gt;"",P372=""),"Responsable manquant",IF(AND(R372&lt;&gt;"",O372=""),"Statut sans action",IF(AND(R372="Réalisée",N(S372)=0),"Date de réalisation manquante",IF(AND(T372&lt;&gt;"",IF(ISNUMBER(T372),T372&lt;0,TRUE)),"Coût invalide",IF(AND(COUNTBLANK(U372:W372)&gt;0,COUNTBLANK(U372:W372)&lt;3),"Cotation après action incomplète",IF(AND(COUNTBLANK(U372:W372)=0,X372=""),"G', O', D' : entiers de 1 à 10",IF(AND(X372&lt;&gt;"",X372&gt;L372),"IPR après action plus élevé","OK")))))))))))))))))</f>
        <v/>
      </c>
      <c r="AC372" s="59" t="str">
        <f>IF(OR(AA372="En retard",AA372="Échéance proche",AA372="Dans les délais",AA372="Échéance manquante",AA372="Action à définir",AA372="À réévaluer"),IF(OR(plan_who="",P372=plan_who),IF(N(Q372)&gt;0,Q372,99999)*1000+ROW(),""),"")</f>
        <v/>
      </c>
      <c r="AD372" s="59" t="str">
        <f>IF(L372="","",L372*1000+1000-ROW())</f>
        <v/>
      </c>
      <c r="AE372" s="59" t="str">
        <f>IF(IF(AA372="En retard",1,IF(AA372="Action à définir",2,IF(AA372="Échéance manquante",3,IF(AA372="Échéance proche",4,IF(AA372="À réévaluer",5,0)))))=0,"",IF(AA372="En retard",1,IF(AA372="Action à définir",2,IF(AA372="Échéance manquante",3,IF(AA372="Échéance proche",4,IF(AA372="À réévaluer",5,0)))))*100000000+IF(N(Q372)&gt;0,Q372,99999)*1000+ROW())</f>
        <v/>
      </c>
      <c r="AF372" s="59" t="str">
        <f>IF(X372&lt;&gt;"",X372,L372)</f>
        <v/>
      </c>
      <c r="AG372" s="59" t="str">
        <f>IF(X372&lt;&gt;"",Y372,IF(L372&lt;&gt;"",M372,""))</f>
        <v/>
      </c>
      <c r="AH372" s="59" t="str">
        <f>IF(L372="","",IF(X372&lt;&gt;"",U372,F372))</f>
        <v/>
      </c>
      <c r="AI372" s="59" t="str">
        <f>IF(L372="","",IF(X372&lt;&gt;"",V372,H372))</f>
        <v/>
      </c>
    </row>
    <row r="373" ht="30" customHeight="1">
      <c r="A373" s="50" t="n"/>
      <c r="B373" s="51" t="n"/>
      <c r="C373" s="51" t="n"/>
      <c r="D373" s="51" t="n"/>
      <c r="E373" s="51" t="n"/>
      <c r="F373" s="52" t="n"/>
      <c r="G373" s="51" t="n"/>
      <c r="H373" s="52" t="n"/>
      <c r="I373" s="51" t="n"/>
      <c r="J373" s="51" t="n"/>
      <c r="K373" s="52" t="n"/>
      <c r="L373" s="53" t="str">
        <f>IF(AND(IF(ISNUMBER(F373),AND(F373&gt;=1,F373&lt;=10,F373=INT(F373)),FALSE),IF(ISNUMBER(H373),AND(H373&gt;=1,H373&lt;=10,H373=INT(H373)),FALSE),IF(ISNUMBER(K373),AND(K373&gt;=1,K373&lt;=10,K373=INT(K373)),FALSE)),F373*H373*K373,"")</f>
        <v/>
      </c>
      <c r="M373" s="54" t="str">
        <f>IF(L373="",IF(D373="","","À coter"),IF(OR(F373&gt;=p_gmin,L373&gt;=p_ipr_crit),"Critique",IF(L373&gt;=p_ipr_act,"Élevée",IF(L373&gt;=p_ipr_watch,"Moyenne","Faible"))))</f>
        <v/>
      </c>
      <c r="N373" s="54" t="str">
        <f>IF(OR(M373="",M373="À coter"),"",IF(OR(M373="Critique",M373="Élevée"),"Oui","Non"))</f>
        <v/>
      </c>
      <c r="O373" s="51" t="n"/>
      <c r="P373" s="51" t="n"/>
      <c r="Q373" s="55" t="n"/>
      <c r="R373" s="50" t="n"/>
      <c r="S373" s="55" t="n"/>
      <c r="T373" s="56" t="n"/>
      <c r="U373" s="52" t="n"/>
      <c r="V373" s="52" t="n"/>
      <c r="W373" s="52" t="n"/>
      <c r="X373" s="53" t="str">
        <f>IF(AND(L373&lt;&gt;"",IF(ISNUMBER(U373),AND(U373&gt;=1,U373&lt;=10,U373=INT(U373)),FALSE),IF(ISNUMBER(V373),AND(V373&gt;=1,V373&lt;=10,V373=INT(V373)),FALSE),IF(ISNUMBER(W373),AND(W373&gt;=1,W373&lt;=10,W373=INT(W373)),FALSE)),U373*V373*W373,"")</f>
        <v/>
      </c>
      <c r="Y373" s="54" t="str">
        <f>IF(X373="","",IF(OR(U373&gt;=p_gmin,X373&gt;=p_ipr_crit),"Critique",IF(X373&gt;=p_ipr_act,"Élevée",IF(X373&gt;=p_ipr_watch,"Moyenne","Faible"))))</f>
        <v/>
      </c>
      <c r="Z373" s="57" t="str">
        <f>IF(X373="","",(L373-X373)/L373)</f>
        <v/>
      </c>
      <c r="AA373" s="54" t="str">
        <f>IF(AND(D373="",O373=""),"",IF(O373="",IF(N373="Oui","Action à définir",IF(N373="Non","Sans action","")),IF(R373="Annulée","Annulée",IF(R373="Réalisée",IF(X373="","À réévaluer","Réalisée"),IF(N(Q373)=0,"Échéance manquante",IF(Q373&lt;p_today,"En retard",IF(Q373-p_today&lt;=p_alert,"Échéance proche","Dans les délais")))))))</f>
        <v/>
      </c>
      <c r="AB373" s="58" t="str">
        <f>IF(AND(A373="",B373="",D373="",F373="",H373="",K373="",O373=""),"",IF(D373="","Mode de défaillance manquant",IF(AND(A373&lt;&gt;"",COUNTIF(am_num,A373)&gt;1),"N° en double",IF(F373="","Gravité G manquante",IF(NOT(IF(ISNUMBER(F373),AND(F373&gt;=1,F373&lt;=10,F373=INT(F373)),FALSE)),"G : entier de 1 à 10",IF(H373="","Occurrence O manquante",IF(NOT(IF(ISNUMBER(H373),AND(H373&gt;=1,H373&lt;=10,H373=INT(H373)),FALSE)),"O : entier de 1 à 10",IF(K373="","Détection D manquante",IF(NOT(IF(ISNUMBER(K373),AND(K373&gt;=1,K373&lt;=10,K373=INT(K373)),FALSE)),"D : entier de 1 à 10",IF(G373="","Cause manquante",IF(AND(O373&lt;&gt;"",P373=""),"Responsable manquant",IF(AND(R373&lt;&gt;"",O373=""),"Statut sans action",IF(AND(R373="Réalisée",N(S373)=0),"Date de réalisation manquante",IF(AND(T373&lt;&gt;"",IF(ISNUMBER(T373),T373&lt;0,TRUE)),"Coût invalide",IF(AND(COUNTBLANK(U373:W373)&gt;0,COUNTBLANK(U373:W373)&lt;3),"Cotation après action incomplète",IF(AND(COUNTBLANK(U373:W373)=0,X373=""),"G', O', D' : entiers de 1 à 10",IF(AND(X373&lt;&gt;"",X373&gt;L373),"IPR après action plus élevé","OK")))))))))))))))))</f>
        <v/>
      </c>
      <c r="AC373" s="59" t="str">
        <f>IF(OR(AA373="En retard",AA373="Échéance proche",AA373="Dans les délais",AA373="Échéance manquante",AA373="Action à définir",AA373="À réévaluer"),IF(OR(plan_who="",P373=plan_who),IF(N(Q373)&gt;0,Q373,99999)*1000+ROW(),""),"")</f>
        <v/>
      </c>
      <c r="AD373" s="59" t="str">
        <f>IF(L373="","",L373*1000+1000-ROW())</f>
        <v/>
      </c>
      <c r="AE373" s="59" t="str">
        <f>IF(IF(AA373="En retard",1,IF(AA373="Action à définir",2,IF(AA373="Échéance manquante",3,IF(AA373="Échéance proche",4,IF(AA373="À réévaluer",5,0)))))=0,"",IF(AA373="En retard",1,IF(AA373="Action à définir",2,IF(AA373="Échéance manquante",3,IF(AA373="Échéance proche",4,IF(AA373="À réévaluer",5,0)))))*100000000+IF(N(Q373)&gt;0,Q373,99999)*1000+ROW())</f>
        <v/>
      </c>
      <c r="AF373" s="59" t="str">
        <f>IF(X373&lt;&gt;"",X373,L373)</f>
        <v/>
      </c>
      <c r="AG373" s="59" t="str">
        <f>IF(X373&lt;&gt;"",Y373,IF(L373&lt;&gt;"",M373,""))</f>
        <v/>
      </c>
      <c r="AH373" s="59" t="str">
        <f>IF(L373="","",IF(X373&lt;&gt;"",U373,F373))</f>
        <v/>
      </c>
      <c r="AI373" s="59" t="str">
        <f>IF(L373="","",IF(X373&lt;&gt;"",V373,H373))</f>
        <v/>
      </c>
    </row>
    <row r="374" ht="30" customHeight="1">
      <c r="A374" s="50" t="n"/>
      <c r="B374" s="51" t="n"/>
      <c r="C374" s="51" t="n"/>
      <c r="D374" s="51" t="n"/>
      <c r="E374" s="51" t="n"/>
      <c r="F374" s="52" t="n"/>
      <c r="G374" s="51" t="n"/>
      <c r="H374" s="52" t="n"/>
      <c r="I374" s="51" t="n"/>
      <c r="J374" s="51" t="n"/>
      <c r="K374" s="52" t="n"/>
      <c r="L374" s="53" t="str">
        <f>IF(AND(IF(ISNUMBER(F374),AND(F374&gt;=1,F374&lt;=10,F374=INT(F374)),FALSE),IF(ISNUMBER(H374),AND(H374&gt;=1,H374&lt;=10,H374=INT(H374)),FALSE),IF(ISNUMBER(K374),AND(K374&gt;=1,K374&lt;=10,K374=INT(K374)),FALSE)),F374*H374*K374,"")</f>
        <v/>
      </c>
      <c r="M374" s="54" t="str">
        <f>IF(L374="",IF(D374="","","À coter"),IF(OR(F374&gt;=p_gmin,L374&gt;=p_ipr_crit),"Critique",IF(L374&gt;=p_ipr_act,"Élevée",IF(L374&gt;=p_ipr_watch,"Moyenne","Faible"))))</f>
        <v/>
      </c>
      <c r="N374" s="54" t="str">
        <f>IF(OR(M374="",M374="À coter"),"",IF(OR(M374="Critique",M374="Élevée"),"Oui","Non"))</f>
        <v/>
      </c>
      <c r="O374" s="51" t="n"/>
      <c r="P374" s="51" t="n"/>
      <c r="Q374" s="55" t="n"/>
      <c r="R374" s="50" t="n"/>
      <c r="S374" s="55" t="n"/>
      <c r="T374" s="56" t="n"/>
      <c r="U374" s="52" t="n"/>
      <c r="V374" s="52" t="n"/>
      <c r="W374" s="52" t="n"/>
      <c r="X374" s="53" t="str">
        <f>IF(AND(L374&lt;&gt;"",IF(ISNUMBER(U374),AND(U374&gt;=1,U374&lt;=10,U374=INT(U374)),FALSE),IF(ISNUMBER(V374),AND(V374&gt;=1,V374&lt;=10,V374=INT(V374)),FALSE),IF(ISNUMBER(W374),AND(W374&gt;=1,W374&lt;=10,W374=INT(W374)),FALSE)),U374*V374*W374,"")</f>
        <v/>
      </c>
      <c r="Y374" s="54" t="str">
        <f>IF(X374="","",IF(OR(U374&gt;=p_gmin,X374&gt;=p_ipr_crit),"Critique",IF(X374&gt;=p_ipr_act,"Élevée",IF(X374&gt;=p_ipr_watch,"Moyenne","Faible"))))</f>
        <v/>
      </c>
      <c r="Z374" s="57" t="str">
        <f>IF(X374="","",(L374-X374)/L374)</f>
        <v/>
      </c>
      <c r="AA374" s="54" t="str">
        <f>IF(AND(D374="",O374=""),"",IF(O374="",IF(N374="Oui","Action à définir",IF(N374="Non","Sans action","")),IF(R374="Annulée","Annulée",IF(R374="Réalisée",IF(X374="","À réévaluer","Réalisée"),IF(N(Q374)=0,"Échéance manquante",IF(Q374&lt;p_today,"En retard",IF(Q374-p_today&lt;=p_alert,"Échéance proche","Dans les délais")))))))</f>
        <v/>
      </c>
      <c r="AB374" s="58" t="str">
        <f>IF(AND(A374="",B374="",D374="",F374="",H374="",K374="",O374=""),"",IF(D374="","Mode de défaillance manquant",IF(AND(A374&lt;&gt;"",COUNTIF(am_num,A374)&gt;1),"N° en double",IF(F374="","Gravité G manquante",IF(NOT(IF(ISNUMBER(F374),AND(F374&gt;=1,F374&lt;=10,F374=INT(F374)),FALSE)),"G : entier de 1 à 10",IF(H374="","Occurrence O manquante",IF(NOT(IF(ISNUMBER(H374),AND(H374&gt;=1,H374&lt;=10,H374=INT(H374)),FALSE)),"O : entier de 1 à 10",IF(K374="","Détection D manquante",IF(NOT(IF(ISNUMBER(K374),AND(K374&gt;=1,K374&lt;=10,K374=INT(K374)),FALSE)),"D : entier de 1 à 10",IF(G374="","Cause manquante",IF(AND(O374&lt;&gt;"",P374=""),"Responsable manquant",IF(AND(R374&lt;&gt;"",O374=""),"Statut sans action",IF(AND(R374="Réalisée",N(S374)=0),"Date de réalisation manquante",IF(AND(T374&lt;&gt;"",IF(ISNUMBER(T374),T374&lt;0,TRUE)),"Coût invalide",IF(AND(COUNTBLANK(U374:W374)&gt;0,COUNTBLANK(U374:W374)&lt;3),"Cotation après action incomplète",IF(AND(COUNTBLANK(U374:W374)=0,X374=""),"G', O', D' : entiers de 1 à 10",IF(AND(X374&lt;&gt;"",X374&gt;L374),"IPR après action plus élevé","OK")))))))))))))))))</f>
        <v/>
      </c>
      <c r="AC374" s="59" t="str">
        <f>IF(OR(AA374="En retard",AA374="Échéance proche",AA374="Dans les délais",AA374="Échéance manquante",AA374="Action à définir",AA374="À réévaluer"),IF(OR(plan_who="",P374=plan_who),IF(N(Q374)&gt;0,Q374,99999)*1000+ROW(),""),"")</f>
        <v/>
      </c>
      <c r="AD374" s="59" t="str">
        <f>IF(L374="","",L374*1000+1000-ROW())</f>
        <v/>
      </c>
      <c r="AE374" s="59" t="str">
        <f>IF(IF(AA374="En retard",1,IF(AA374="Action à définir",2,IF(AA374="Échéance manquante",3,IF(AA374="Échéance proche",4,IF(AA374="À réévaluer",5,0)))))=0,"",IF(AA374="En retard",1,IF(AA374="Action à définir",2,IF(AA374="Échéance manquante",3,IF(AA374="Échéance proche",4,IF(AA374="À réévaluer",5,0)))))*100000000+IF(N(Q374)&gt;0,Q374,99999)*1000+ROW())</f>
        <v/>
      </c>
      <c r="AF374" s="59" t="str">
        <f>IF(X374&lt;&gt;"",X374,L374)</f>
        <v/>
      </c>
      <c r="AG374" s="59" t="str">
        <f>IF(X374&lt;&gt;"",Y374,IF(L374&lt;&gt;"",M374,""))</f>
        <v/>
      </c>
      <c r="AH374" s="59" t="str">
        <f>IF(L374="","",IF(X374&lt;&gt;"",U374,F374))</f>
        <v/>
      </c>
      <c r="AI374" s="59" t="str">
        <f>IF(L374="","",IF(X374&lt;&gt;"",V374,H374))</f>
        <v/>
      </c>
    </row>
    <row r="375" ht="30" customHeight="1">
      <c r="A375" s="50" t="n"/>
      <c r="B375" s="51" t="n"/>
      <c r="C375" s="51" t="n"/>
      <c r="D375" s="51" t="n"/>
      <c r="E375" s="51" t="n"/>
      <c r="F375" s="52" t="n"/>
      <c r="G375" s="51" t="n"/>
      <c r="H375" s="52" t="n"/>
      <c r="I375" s="51" t="n"/>
      <c r="J375" s="51" t="n"/>
      <c r="K375" s="52" t="n"/>
      <c r="L375" s="53" t="str">
        <f>IF(AND(IF(ISNUMBER(F375),AND(F375&gt;=1,F375&lt;=10,F375=INT(F375)),FALSE),IF(ISNUMBER(H375),AND(H375&gt;=1,H375&lt;=10,H375=INT(H375)),FALSE),IF(ISNUMBER(K375),AND(K375&gt;=1,K375&lt;=10,K375=INT(K375)),FALSE)),F375*H375*K375,"")</f>
        <v/>
      </c>
      <c r="M375" s="54" t="str">
        <f>IF(L375="",IF(D375="","","À coter"),IF(OR(F375&gt;=p_gmin,L375&gt;=p_ipr_crit),"Critique",IF(L375&gt;=p_ipr_act,"Élevée",IF(L375&gt;=p_ipr_watch,"Moyenne","Faible"))))</f>
        <v/>
      </c>
      <c r="N375" s="54" t="str">
        <f>IF(OR(M375="",M375="À coter"),"",IF(OR(M375="Critique",M375="Élevée"),"Oui","Non"))</f>
        <v/>
      </c>
      <c r="O375" s="51" t="n"/>
      <c r="P375" s="51" t="n"/>
      <c r="Q375" s="55" t="n"/>
      <c r="R375" s="50" t="n"/>
      <c r="S375" s="55" t="n"/>
      <c r="T375" s="56" t="n"/>
      <c r="U375" s="52" t="n"/>
      <c r="V375" s="52" t="n"/>
      <c r="W375" s="52" t="n"/>
      <c r="X375" s="53" t="str">
        <f>IF(AND(L375&lt;&gt;"",IF(ISNUMBER(U375),AND(U375&gt;=1,U375&lt;=10,U375=INT(U375)),FALSE),IF(ISNUMBER(V375),AND(V375&gt;=1,V375&lt;=10,V375=INT(V375)),FALSE),IF(ISNUMBER(W375),AND(W375&gt;=1,W375&lt;=10,W375=INT(W375)),FALSE)),U375*V375*W375,"")</f>
        <v/>
      </c>
      <c r="Y375" s="54" t="str">
        <f>IF(X375="","",IF(OR(U375&gt;=p_gmin,X375&gt;=p_ipr_crit),"Critique",IF(X375&gt;=p_ipr_act,"Élevée",IF(X375&gt;=p_ipr_watch,"Moyenne","Faible"))))</f>
        <v/>
      </c>
      <c r="Z375" s="57" t="str">
        <f>IF(X375="","",(L375-X375)/L375)</f>
        <v/>
      </c>
      <c r="AA375" s="54" t="str">
        <f>IF(AND(D375="",O375=""),"",IF(O375="",IF(N375="Oui","Action à définir",IF(N375="Non","Sans action","")),IF(R375="Annulée","Annulée",IF(R375="Réalisée",IF(X375="","À réévaluer","Réalisée"),IF(N(Q375)=0,"Échéance manquante",IF(Q375&lt;p_today,"En retard",IF(Q375-p_today&lt;=p_alert,"Échéance proche","Dans les délais")))))))</f>
        <v/>
      </c>
      <c r="AB375" s="58" t="str">
        <f>IF(AND(A375="",B375="",D375="",F375="",H375="",K375="",O375=""),"",IF(D375="","Mode de défaillance manquant",IF(AND(A375&lt;&gt;"",COUNTIF(am_num,A375)&gt;1),"N° en double",IF(F375="","Gravité G manquante",IF(NOT(IF(ISNUMBER(F375),AND(F375&gt;=1,F375&lt;=10,F375=INT(F375)),FALSE)),"G : entier de 1 à 10",IF(H375="","Occurrence O manquante",IF(NOT(IF(ISNUMBER(H375),AND(H375&gt;=1,H375&lt;=10,H375=INT(H375)),FALSE)),"O : entier de 1 à 10",IF(K375="","Détection D manquante",IF(NOT(IF(ISNUMBER(K375),AND(K375&gt;=1,K375&lt;=10,K375=INT(K375)),FALSE)),"D : entier de 1 à 10",IF(G375="","Cause manquante",IF(AND(O375&lt;&gt;"",P375=""),"Responsable manquant",IF(AND(R375&lt;&gt;"",O375=""),"Statut sans action",IF(AND(R375="Réalisée",N(S375)=0),"Date de réalisation manquante",IF(AND(T375&lt;&gt;"",IF(ISNUMBER(T375),T375&lt;0,TRUE)),"Coût invalide",IF(AND(COUNTBLANK(U375:W375)&gt;0,COUNTBLANK(U375:W375)&lt;3),"Cotation après action incomplète",IF(AND(COUNTBLANK(U375:W375)=0,X375=""),"G', O', D' : entiers de 1 à 10",IF(AND(X375&lt;&gt;"",X375&gt;L375),"IPR après action plus élevé","OK")))))))))))))))))</f>
        <v/>
      </c>
      <c r="AC375" s="59" t="str">
        <f>IF(OR(AA375="En retard",AA375="Échéance proche",AA375="Dans les délais",AA375="Échéance manquante",AA375="Action à définir",AA375="À réévaluer"),IF(OR(plan_who="",P375=plan_who),IF(N(Q375)&gt;0,Q375,99999)*1000+ROW(),""),"")</f>
        <v/>
      </c>
      <c r="AD375" s="59" t="str">
        <f>IF(L375="","",L375*1000+1000-ROW())</f>
        <v/>
      </c>
      <c r="AE375" s="59" t="str">
        <f>IF(IF(AA375="En retard",1,IF(AA375="Action à définir",2,IF(AA375="Échéance manquante",3,IF(AA375="Échéance proche",4,IF(AA375="À réévaluer",5,0)))))=0,"",IF(AA375="En retard",1,IF(AA375="Action à définir",2,IF(AA375="Échéance manquante",3,IF(AA375="Échéance proche",4,IF(AA375="À réévaluer",5,0)))))*100000000+IF(N(Q375)&gt;0,Q375,99999)*1000+ROW())</f>
        <v/>
      </c>
      <c r="AF375" s="59" t="str">
        <f>IF(X375&lt;&gt;"",X375,L375)</f>
        <v/>
      </c>
      <c r="AG375" s="59" t="str">
        <f>IF(X375&lt;&gt;"",Y375,IF(L375&lt;&gt;"",M375,""))</f>
        <v/>
      </c>
      <c r="AH375" s="59" t="str">
        <f>IF(L375="","",IF(X375&lt;&gt;"",U375,F375))</f>
        <v/>
      </c>
      <c r="AI375" s="59" t="str">
        <f>IF(L375="","",IF(X375&lt;&gt;"",V375,H375))</f>
        <v/>
      </c>
    </row>
    <row r="376" ht="30" customHeight="1">
      <c r="A376" s="50" t="n"/>
      <c r="B376" s="51" t="n"/>
      <c r="C376" s="51" t="n"/>
      <c r="D376" s="51" t="n"/>
      <c r="E376" s="51" t="n"/>
      <c r="F376" s="52" t="n"/>
      <c r="G376" s="51" t="n"/>
      <c r="H376" s="52" t="n"/>
      <c r="I376" s="51" t="n"/>
      <c r="J376" s="51" t="n"/>
      <c r="K376" s="52" t="n"/>
      <c r="L376" s="53" t="str">
        <f>IF(AND(IF(ISNUMBER(F376),AND(F376&gt;=1,F376&lt;=10,F376=INT(F376)),FALSE),IF(ISNUMBER(H376),AND(H376&gt;=1,H376&lt;=10,H376=INT(H376)),FALSE),IF(ISNUMBER(K376),AND(K376&gt;=1,K376&lt;=10,K376=INT(K376)),FALSE)),F376*H376*K376,"")</f>
        <v/>
      </c>
      <c r="M376" s="54" t="str">
        <f>IF(L376="",IF(D376="","","À coter"),IF(OR(F376&gt;=p_gmin,L376&gt;=p_ipr_crit),"Critique",IF(L376&gt;=p_ipr_act,"Élevée",IF(L376&gt;=p_ipr_watch,"Moyenne","Faible"))))</f>
        <v/>
      </c>
      <c r="N376" s="54" t="str">
        <f>IF(OR(M376="",M376="À coter"),"",IF(OR(M376="Critique",M376="Élevée"),"Oui","Non"))</f>
        <v/>
      </c>
      <c r="O376" s="51" t="n"/>
      <c r="P376" s="51" t="n"/>
      <c r="Q376" s="55" t="n"/>
      <c r="R376" s="50" t="n"/>
      <c r="S376" s="55" t="n"/>
      <c r="T376" s="56" t="n"/>
      <c r="U376" s="52" t="n"/>
      <c r="V376" s="52" t="n"/>
      <c r="W376" s="52" t="n"/>
      <c r="X376" s="53" t="str">
        <f>IF(AND(L376&lt;&gt;"",IF(ISNUMBER(U376),AND(U376&gt;=1,U376&lt;=10,U376=INT(U376)),FALSE),IF(ISNUMBER(V376),AND(V376&gt;=1,V376&lt;=10,V376=INT(V376)),FALSE),IF(ISNUMBER(W376),AND(W376&gt;=1,W376&lt;=10,W376=INT(W376)),FALSE)),U376*V376*W376,"")</f>
        <v/>
      </c>
      <c r="Y376" s="54" t="str">
        <f>IF(X376="","",IF(OR(U376&gt;=p_gmin,X376&gt;=p_ipr_crit),"Critique",IF(X376&gt;=p_ipr_act,"Élevée",IF(X376&gt;=p_ipr_watch,"Moyenne","Faible"))))</f>
        <v/>
      </c>
      <c r="Z376" s="57" t="str">
        <f>IF(X376="","",(L376-X376)/L376)</f>
        <v/>
      </c>
      <c r="AA376" s="54" t="str">
        <f>IF(AND(D376="",O376=""),"",IF(O376="",IF(N376="Oui","Action à définir",IF(N376="Non","Sans action","")),IF(R376="Annulée","Annulée",IF(R376="Réalisée",IF(X376="","À réévaluer","Réalisée"),IF(N(Q376)=0,"Échéance manquante",IF(Q376&lt;p_today,"En retard",IF(Q376-p_today&lt;=p_alert,"Échéance proche","Dans les délais")))))))</f>
        <v/>
      </c>
      <c r="AB376" s="58" t="str">
        <f>IF(AND(A376="",B376="",D376="",F376="",H376="",K376="",O376=""),"",IF(D376="","Mode de défaillance manquant",IF(AND(A376&lt;&gt;"",COUNTIF(am_num,A376)&gt;1),"N° en double",IF(F376="","Gravité G manquante",IF(NOT(IF(ISNUMBER(F376),AND(F376&gt;=1,F376&lt;=10,F376=INT(F376)),FALSE)),"G : entier de 1 à 10",IF(H376="","Occurrence O manquante",IF(NOT(IF(ISNUMBER(H376),AND(H376&gt;=1,H376&lt;=10,H376=INT(H376)),FALSE)),"O : entier de 1 à 10",IF(K376="","Détection D manquante",IF(NOT(IF(ISNUMBER(K376),AND(K376&gt;=1,K376&lt;=10,K376=INT(K376)),FALSE)),"D : entier de 1 à 10",IF(G376="","Cause manquante",IF(AND(O376&lt;&gt;"",P376=""),"Responsable manquant",IF(AND(R376&lt;&gt;"",O376=""),"Statut sans action",IF(AND(R376="Réalisée",N(S376)=0),"Date de réalisation manquante",IF(AND(T376&lt;&gt;"",IF(ISNUMBER(T376),T376&lt;0,TRUE)),"Coût invalide",IF(AND(COUNTBLANK(U376:W376)&gt;0,COUNTBLANK(U376:W376)&lt;3),"Cotation après action incomplète",IF(AND(COUNTBLANK(U376:W376)=0,X376=""),"G', O', D' : entiers de 1 à 10",IF(AND(X376&lt;&gt;"",X376&gt;L376),"IPR après action plus élevé","OK")))))))))))))))))</f>
        <v/>
      </c>
      <c r="AC376" s="59" t="str">
        <f>IF(OR(AA376="En retard",AA376="Échéance proche",AA376="Dans les délais",AA376="Échéance manquante",AA376="Action à définir",AA376="À réévaluer"),IF(OR(plan_who="",P376=plan_who),IF(N(Q376)&gt;0,Q376,99999)*1000+ROW(),""),"")</f>
        <v/>
      </c>
      <c r="AD376" s="59" t="str">
        <f>IF(L376="","",L376*1000+1000-ROW())</f>
        <v/>
      </c>
      <c r="AE376" s="59" t="str">
        <f>IF(IF(AA376="En retard",1,IF(AA376="Action à définir",2,IF(AA376="Échéance manquante",3,IF(AA376="Échéance proche",4,IF(AA376="À réévaluer",5,0)))))=0,"",IF(AA376="En retard",1,IF(AA376="Action à définir",2,IF(AA376="Échéance manquante",3,IF(AA376="Échéance proche",4,IF(AA376="À réévaluer",5,0)))))*100000000+IF(N(Q376)&gt;0,Q376,99999)*1000+ROW())</f>
        <v/>
      </c>
      <c r="AF376" s="59" t="str">
        <f>IF(X376&lt;&gt;"",X376,L376)</f>
        <v/>
      </c>
      <c r="AG376" s="59" t="str">
        <f>IF(X376&lt;&gt;"",Y376,IF(L376&lt;&gt;"",M376,""))</f>
        <v/>
      </c>
      <c r="AH376" s="59" t="str">
        <f>IF(L376="","",IF(X376&lt;&gt;"",U376,F376))</f>
        <v/>
      </c>
      <c r="AI376" s="59" t="str">
        <f>IF(L376="","",IF(X376&lt;&gt;"",V376,H376))</f>
        <v/>
      </c>
    </row>
    <row r="377" ht="30" customHeight="1">
      <c r="A377" s="50" t="n"/>
      <c r="B377" s="51" t="n"/>
      <c r="C377" s="51" t="n"/>
      <c r="D377" s="51" t="n"/>
      <c r="E377" s="51" t="n"/>
      <c r="F377" s="52" t="n"/>
      <c r="G377" s="51" t="n"/>
      <c r="H377" s="52" t="n"/>
      <c r="I377" s="51" t="n"/>
      <c r="J377" s="51" t="n"/>
      <c r="K377" s="52" t="n"/>
      <c r="L377" s="53" t="str">
        <f>IF(AND(IF(ISNUMBER(F377),AND(F377&gt;=1,F377&lt;=10,F377=INT(F377)),FALSE),IF(ISNUMBER(H377),AND(H377&gt;=1,H377&lt;=10,H377=INT(H377)),FALSE),IF(ISNUMBER(K377),AND(K377&gt;=1,K377&lt;=10,K377=INT(K377)),FALSE)),F377*H377*K377,"")</f>
        <v/>
      </c>
      <c r="M377" s="54" t="str">
        <f>IF(L377="",IF(D377="","","À coter"),IF(OR(F377&gt;=p_gmin,L377&gt;=p_ipr_crit),"Critique",IF(L377&gt;=p_ipr_act,"Élevée",IF(L377&gt;=p_ipr_watch,"Moyenne","Faible"))))</f>
        <v/>
      </c>
      <c r="N377" s="54" t="str">
        <f>IF(OR(M377="",M377="À coter"),"",IF(OR(M377="Critique",M377="Élevée"),"Oui","Non"))</f>
        <v/>
      </c>
      <c r="O377" s="51" t="n"/>
      <c r="P377" s="51" t="n"/>
      <c r="Q377" s="55" t="n"/>
      <c r="R377" s="50" t="n"/>
      <c r="S377" s="55" t="n"/>
      <c r="T377" s="56" t="n"/>
      <c r="U377" s="52" t="n"/>
      <c r="V377" s="52" t="n"/>
      <c r="W377" s="52" t="n"/>
      <c r="X377" s="53" t="str">
        <f>IF(AND(L377&lt;&gt;"",IF(ISNUMBER(U377),AND(U377&gt;=1,U377&lt;=10,U377=INT(U377)),FALSE),IF(ISNUMBER(V377),AND(V377&gt;=1,V377&lt;=10,V377=INT(V377)),FALSE),IF(ISNUMBER(W377),AND(W377&gt;=1,W377&lt;=10,W377=INT(W377)),FALSE)),U377*V377*W377,"")</f>
        <v/>
      </c>
      <c r="Y377" s="54" t="str">
        <f>IF(X377="","",IF(OR(U377&gt;=p_gmin,X377&gt;=p_ipr_crit),"Critique",IF(X377&gt;=p_ipr_act,"Élevée",IF(X377&gt;=p_ipr_watch,"Moyenne","Faible"))))</f>
        <v/>
      </c>
      <c r="Z377" s="57" t="str">
        <f>IF(X377="","",(L377-X377)/L377)</f>
        <v/>
      </c>
      <c r="AA377" s="54" t="str">
        <f>IF(AND(D377="",O377=""),"",IF(O377="",IF(N377="Oui","Action à définir",IF(N377="Non","Sans action","")),IF(R377="Annulée","Annulée",IF(R377="Réalisée",IF(X377="","À réévaluer","Réalisée"),IF(N(Q377)=0,"Échéance manquante",IF(Q377&lt;p_today,"En retard",IF(Q377-p_today&lt;=p_alert,"Échéance proche","Dans les délais")))))))</f>
        <v/>
      </c>
      <c r="AB377" s="58" t="str">
        <f>IF(AND(A377="",B377="",D377="",F377="",H377="",K377="",O377=""),"",IF(D377="","Mode de défaillance manquant",IF(AND(A377&lt;&gt;"",COUNTIF(am_num,A377)&gt;1),"N° en double",IF(F377="","Gravité G manquante",IF(NOT(IF(ISNUMBER(F377),AND(F377&gt;=1,F377&lt;=10,F377=INT(F377)),FALSE)),"G : entier de 1 à 10",IF(H377="","Occurrence O manquante",IF(NOT(IF(ISNUMBER(H377),AND(H377&gt;=1,H377&lt;=10,H377=INT(H377)),FALSE)),"O : entier de 1 à 10",IF(K377="","Détection D manquante",IF(NOT(IF(ISNUMBER(K377),AND(K377&gt;=1,K377&lt;=10,K377=INT(K377)),FALSE)),"D : entier de 1 à 10",IF(G377="","Cause manquante",IF(AND(O377&lt;&gt;"",P377=""),"Responsable manquant",IF(AND(R377&lt;&gt;"",O377=""),"Statut sans action",IF(AND(R377="Réalisée",N(S377)=0),"Date de réalisation manquante",IF(AND(T377&lt;&gt;"",IF(ISNUMBER(T377),T377&lt;0,TRUE)),"Coût invalide",IF(AND(COUNTBLANK(U377:W377)&gt;0,COUNTBLANK(U377:W377)&lt;3),"Cotation après action incomplète",IF(AND(COUNTBLANK(U377:W377)=0,X377=""),"G', O', D' : entiers de 1 à 10",IF(AND(X377&lt;&gt;"",X377&gt;L377),"IPR après action plus élevé","OK")))))))))))))))))</f>
        <v/>
      </c>
      <c r="AC377" s="59" t="str">
        <f>IF(OR(AA377="En retard",AA377="Échéance proche",AA377="Dans les délais",AA377="Échéance manquante",AA377="Action à définir",AA377="À réévaluer"),IF(OR(plan_who="",P377=plan_who),IF(N(Q377)&gt;0,Q377,99999)*1000+ROW(),""),"")</f>
        <v/>
      </c>
      <c r="AD377" s="59" t="str">
        <f>IF(L377="","",L377*1000+1000-ROW())</f>
        <v/>
      </c>
      <c r="AE377" s="59" t="str">
        <f>IF(IF(AA377="En retard",1,IF(AA377="Action à définir",2,IF(AA377="Échéance manquante",3,IF(AA377="Échéance proche",4,IF(AA377="À réévaluer",5,0)))))=0,"",IF(AA377="En retard",1,IF(AA377="Action à définir",2,IF(AA377="Échéance manquante",3,IF(AA377="Échéance proche",4,IF(AA377="À réévaluer",5,0)))))*100000000+IF(N(Q377)&gt;0,Q377,99999)*1000+ROW())</f>
        <v/>
      </c>
      <c r="AF377" s="59" t="str">
        <f>IF(X377&lt;&gt;"",X377,L377)</f>
        <v/>
      </c>
      <c r="AG377" s="59" t="str">
        <f>IF(X377&lt;&gt;"",Y377,IF(L377&lt;&gt;"",M377,""))</f>
        <v/>
      </c>
      <c r="AH377" s="59" t="str">
        <f>IF(L377="","",IF(X377&lt;&gt;"",U377,F377))</f>
        <v/>
      </c>
      <c r="AI377" s="59" t="str">
        <f>IF(L377="","",IF(X377&lt;&gt;"",V377,H377))</f>
        <v/>
      </c>
    </row>
    <row r="378" ht="30" customHeight="1">
      <c r="A378" s="50" t="n"/>
      <c r="B378" s="51" t="n"/>
      <c r="C378" s="51" t="n"/>
      <c r="D378" s="51" t="n"/>
      <c r="E378" s="51" t="n"/>
      <c r="F378" s="52" t="n"/>
      <c r="G378" s="51" t="n"/>
      <c r="H378" s="52" t="n"/>
      <c r="I378" s="51" t="n"/>
      <c r="J378" s="51" t="n"/>
      <c r="K378" s="52" t="n"/>
      <c r="L378" s="53" t="str">
        <f>IF(AND(IF(ISNUMBER(F378),AND(F378&gt;=1,F378&lt;=10,F378=INT(F378)),FALSE),IF(ISNUMBER(H378),AND(H378&gt;=1,H378&lt;=10,H378=INT(H378)),FALSE),IF(ISNUMBER(K378),AND(K378&gt;=1,K378&lt;=10,K378=INT(K378)),FALSE)),F378*H378*K378,"")</f>
        <v/>
      </c>
      <c r="M378" s="54" t="str">
        <f>IF(L378="",IF(D378="","","À coter"),IF(OR(F378&gt;=p_gmin,L378&gt;=p_ipr_crit),"Critique",IF(L378&gt;=p_ipr_act,"Élevée",IF(L378&gt;=p_ipr_watch,"Moyenne","Faible"))))</f>
        <v/>
      </c>
      <c r="N378" s="54" t="str">
        <f>IF(OR(M378="",M378="À coter"),"",IF(OR(M378="Critique",M378="Élevée"),"Oui","Non"))</f>
        <v/>
      </c>
      <c r="O378" s="51" t="n"/>
      <c r="P378" s="51" t="n"/>
      <c r="Q378" s="55" t="n"/>
      <c r="R378" s="50" t="n"/>
      <c r="S378" s="55" t="n"/>
      <c r="T378" s="56" t="n"/>
      <c r="U378" s="52" t="n"/>
      <c r="V378" s="52" t="n"/>
      <c r="W378" s="52" t="n"/>
      <c r="X378" s="53" t="str">
        <f>IF(AND(L378&lt;&gt;"",IF(ISNUMBER(U378),AND(U378&gt;=1,U378&lt;=10,U378=INT(U378)),FALSE),IF(ISNUMBER(V378),AND(V378&gt;=1,V378&lt;=10,V378=INT(V378)),FALSE),IF(ISNUMBER(W378),AND(W378&gt;=1,W378&lt;=10,W378=INT(W378)),FALSE)),U378*V378*W378,"")</f>
        <v/>
      </c>
      <c r="Y378" s="54" t="str">
        <f>IF(X378="","",IF(OR(U378&gt;=p_gmin,X378&gt;=p_ipr_crit),"Critique",IF(X378&gt;=p_ipr_act,"Élevée",IF(X378&gt;=p_ipr_watch,"Moyenne","Faible"))))</f>
        <v/>
      </c>
      <c r="Z378" s="57" t="str">
        <f>IF(X378="","",(L378-X378)/L378)</f>
        <v/>
      </c>
      <c r="AA378" s="54" t="str">
        <f>IF(AND(D378="",O378=""),"",IF(O378="",IF(N378="Oui","Action à définir",IF(N378="Non","Sans action","")),IF(R378="Annulée","Annulée",IF(R378="Réalisée",IF(X378="","À réévaluer","Réalisée"),IF(N(Q378)=0,"Échéance manquante",IF(Q378&lt;p_today,"En retard",IF(Q378-p_today&lt;=p_alert,"Échéance proche","Dans les délais")))))))</f>
        <v/>
      </c>
      <c r="AB378" s="58" t="str">
        <f>IF(AND(A378="",B378="",D378="",F378="",H378="",K378="",O378=""),"",IF(D378="","Mode de défaillance manquant",IF(AND(A378&lt;&gt;"",COUNTIF(am_num,A378)&gt;1),"N° en double",IF(F378="","Gravité G manquante",IF(NOT(IF(ISNUMBER(F378),AND(F378&gt;=1,F378&lt;=10,F378=INT(F378)),FALSE)),"G : entier de 1 à 10",IF(H378="","Occurrence O manquante",IF(NOT(IF(ISNUMBER(H378),AND(H378&gt;=1,H378&lt;=10,H378=INT(H378)),FALSE)),"O : entier de 1 à 10",IF(K378="","Détection D manquante",IF(NOT(IF(ISNUMBER(K378),AND(K378&gt;=1,K378&lt;=10,K378=INT(K378)),FALSE)),"D : entier de 1 à 10",IF(G378="","Cause manquante",IF(AND(O378&lt;&gt;"",P378=""),"Responsable manquant",IF(AND(R378&lt;&gt;"",O378=""),"Statut sans action",IF(AND(R378="Réalisée",N(S378)=0),"Date de réalisation manquante",IF(AND(T378&lt;&gt;"",IF(ISNUMBER(T378),T378&lt;0,TRUE)),"Coût invalide",IF(AND(COUNTBLANK(U378:W378)&gt;0,COUNTBLANK(U378:W378)&lt;3),"Cotation après action incomplète",IF(AND(COUNTBLANK(U378:W378)=0,X378=""),"G', O', D' : entiers de 1 à 10",IF(AND(X378&lt;&gt;"",X378&gt;L378),"IPR après action plus élevé","OK")))))))))))))))))</f>
        <v/>
      </c>
      <c r="AC378" s="59" t="str">
        <f>IF(OR(AA378="En retard",AA378="Échéance proche",AA378="Dans les délais",AA378="Échéance manquante",AA378="Action à définir",AA378="À réévaluer"),IF(OR(plan_who="",P378=plan_who),IF(N(Q378)&gt;0,Q378,99999)*1000+ROW(),""),"")</f>
        <v/>
      </c>
      <c r="AD378" s="59" t="str">
        <f>IF(L378="","",L378*1000+1000-ROW())</f>
        <v/>
      </c>
      <c r="AE378" s="59" t="str">
        <f>IF(IF(AA378="En retard",1,IF(AA378="Action à définir",2,IF(AA378="Échéance manquante",3,IF(AA378="Échéance proche",4,IF(AA378="À réévaluer",5,0)))))=0,"",IF(AA378="En retard",1,IF(AA378="Action à définir",2,IF(AA378="Échéance manquante",3,IF(AA378="Échéance proche",4,IF(AA378="À réévaluer",5,0)))))*100000000+IF(N(Q378)&gt;0,Q378,99999)*1000+ROW())</f>
        <v/>
      </c>
      <c r="AF378" s="59" t="str">
        <f>IF(X378&lt;&gt;"",X378,L378)</f>
        <v/>
      </c>
      <c r="AG378" s="59" t="str">
        <f>IF(X378&lt;&gt;"",Y378,IF(L378&lt;&gt;"",M378,""))</f>
        <v/>
      </c>
      <c r="AH378" s="59" t="str">
        <f>IF(L378="","",IF(X378&lt;&gt;"",U378,F378))</f>
        <v/>
      </c>
      <c r="AI378" s="59" t="str">
        <f>IF(L378="","",IF(X378&lt;&gt;"",V378,H378))</f>
        <v/>
      </c>
    </row>
    <row r="379" ht="30" customHeight="1">
      <c r="A379" s="50" t="n"/>
      <c r="B379" s="51" t="n"/>
      <c r="C379" s="51" t="n"/>
      <c r="D379" s="51" t="n"/>
      <c r="E379" s="51" t="n"/>
      <c r="F379" s="52" t="n"/>
      <c r="G379" s="51" t="n"/>
      <c r="H379" s="52" t="n"/>
      <c r="I379" s="51" t="n"/>
      <c r="J379" s="51" t="n"/>
      <c r="K379" s="52" t="n"/>
      <c r="L379" s="53" t="str">
        <f>IF(AND(IF(ISNUMBER(F379),AND(F379&gt;=1,F379&lt;=10,F379=INT(F379)),FALSE),IF(ISNUMBER(H379),AND(H379&gt;=1,H379&lt;=10,H379=INT(H379)),FALSE),IF(ISNUMBER(K379),AND(K379&gt;=1,K379&lt;=10,K379=INT(K379)),FALSE)),F379*H379*K379,"")</f>
        <v/>
      </c>
      <c r="M379" s="54" t="str">
        <f>IF(L379="",IF(D379="","","À coter"),IF(OR(F379&gt;=p_gmin,L379&gt;=p_ipr_crit),"Critique",IF(L379&gt;=p_ipr_act,"Élevée",IF(L379&gt;=p_ipr_watch,"Moyenne","Faible"))))</f>
        <v/>
      </c>
      <c r="N379" s="54" t="str">
        <f>IF(OR(M379="",M379="À coter"),"",IF(OR(M379="Critique",M379="Élevée"),"Oui","Non"))</f>
        <v/>
      </c>
      <c r="O379" s="51" t="n"/>
      <c r="P379" s="51" t="n"/>
      <c r="Q379" s="55" t="n"/>
      <c r="R379" s="50" t="n"/>
      <c r="S379" s="55" t="n"/>
      <c r="T379" s="56" t="n"/>
      <c r="U379" s="52" t="n"/>
      <c r="V379" s="52" t="n"/>
      <c r="W379" s="52" t="n"/>
      <c r="X379" s="53" t="str">
        <f>IF(AND(L379&lt;&gt;"",IF(ISNUMBER(U379),AND(U379&gt;=1,U379&lt;=10,U379=INT(U379)),FALSE),IF(ISNUMBER(V379),AND(V379&gt;=1,V379&lt;=10,V379=INT(V379)),FALSE),IF(ISNUMBER(W379),AND(W379&gt;=1,W379&lt;=10,W379=INT(W379)),FALSE)),U379*V379*W379,"")</f>
        <v/>
      </c>
      <c r="Y379" s="54" t="str">
        <f>IF(X379="","",IF(OR(U379&gt;=p_gmin,X379&gt;=p_ipr_crit),"Critique",IF(X379&gt;=p_ipr_act,"Élevée",IF(X379&gt;=p_ipr_watch,"Moyenne","Faible"))))</f>
        <v/>
      </c>
      <c r="Z379" s="57" t="str">
        <f>IF(X379="","",(L379-X379)/L379)</f>
        <v/>
      </c>
      <c r="AA379" s="54" t="str">
        <f>IF(AND(D379="",O379=""),"",IF(O379="",IF(N379="Oui","Action à définir",IF(N379="Non","Sans action","")),IF(R379="Annulée","Annulée",IF(R379="Réalisée",IF(X379="","À réévaluer","Réalisée"),IF(N(Q379)=0,"Échéance manquante",IF(Q379&lt;p_today,"En retard",IF(Q379-p_today&lt;=p_alert,"Échéance proche","Dans les délais")))))))</f>
        <v/>
      </c>
      <c r="AB379" s="58" t="str">
        <f>IF(AND(A379="",B379="",D379="",F379="",H379="",K379="",O379=""),"",IF(D379="","Mode de défaillance manquant",IF(AND(A379&lt;&gt;"",COUNTIF(am_num,A379)&gt;1),"N° en double",IF(F379="","Gravité G manquante",IF(NOT(IF(ISNUMBER(F379),AND(F379&gt;=1,F379&lt;=10,F379=INT(F379)),FALSE)),"G : entier de 1 à 10",IF(H379="","Occurrence O manquante",IF(NOT(IF(ISNUMBER(H379),AND(H379&gt;=1,H379&lt;=10,H379=INT(H379)),FALSE)),"O : entier de 1 à 10",IF(K379="","Détection D manquante",IF(NOT(IF(ISNUMBER(K379),AND(K379&gt;=1,K379&lt;=10,K379=INT(K379)),FALSE)),"D : entier de 1 à 10",IF(G379="","Cause manquante",IF(AND(O379&lt;&gt;"",P379=""),"Responsable manquant",IF(AND(R379&lt;&gt;"",O379=""),"Statut sans action",IF(AND(R379="Réalisée",N(S379)=0),"Date de réalisation manquante",IF(AND(T379&lt;&gt;"",IF(ISNUMBER(T379),T379&lt;0,TRUE)),"Coût invalide",IF(AND(COUNTBLANK(U379:W379)&gt;0,COUNTBLANK(U379:W379)&lt;3),"Cotation après action incomplète",IF(AND(COUNTBLANK(U379:W379)=0,X379=""),"G', O', D' : entiers de 1 à 10",IF(AND(X379&lt;&gt;"",X379&gt;L379),"IPR après action plus élevé","OK")))))))))))))))))</f>
        <v/>
      </c>
      <c r="AC379" s="59" t="str">
        <f>IF(OR(AA379="En retard",AA379="Échéance proche",AA379="Dans les délais",AA379="Échéance manquante",AA379="Action à définir",AA379="À réévaluer"),IF(OR(plan_who="",P379=plan_who),IF(N(Q379)&gt;0,Q379,99999)*1000+ROW(),""),"")</f>
        <v/>
      </c>
      <c r="AD379" s="59" t="str">
        <f>IF(L379="","",L379*1000+1000-ROW())</f>
        <v/>
      </c>
      <c r="AE379" s="59" t="str">
        <f>IF(IF(AA379="En retard",1,IF(AA379="Action à définir",2,IF(AA379="Échéance manquante",3,IF(AA379="Échéance proche",4,IF(AA379="À réévaluer",5,0)))))=0,"",IF(AA379="En retard",1,IF(AA379="Action à définir",2,IF(AA379="Échéance manquante",3,IF(AA379="Échéance proche",4,IF(AA379="À réévaluer",5,0)))))*100000000+IF(N(Q379)&gt;0,Q379,99999)*1000+ROW())</f>
        <v/>
      </c>
      <c r="AF379" s="59" t="str">
        <f>IF(X379&lt;&gt;"",X379,L379)</f>
        <v/>
      </c>
      <c r="AG379" s="59" t="str">
        <f>IF(X379&lt;&gt;"",Y379,IF(L379&lt;&gt;"",M379,""))</f>
        <v/>
      </c>
      <c r="AH379" s="59" t="str">
        <f>IF(L379="","",IF(X379&lt;&gt;"",U379,F379))</f>
        <v/>
      </c>
      <c r="AI379" s="59" t="str">
        <f>IF(L379="","",IF(X379&lt;&gt;"",V379,H379))</f>
        <v/>
      </c>
    </row>
    <row r="380" ht="30" customHeight="1">
      <c r="A380" s="50" t="n"/>
      <c r="B380" s="51" t="n"/>
      <c r="C380" s="51" t="n"/>
      <c r="D380" s="51" t="n"/>
      <c r="E380" s="51" t="n"/>
      <c r="F380" s="52" t="n"/>
      <c r="G380" s="51" t="n"/>
      <c r="H380" s="52" t="n"/>
      <c r="I380" s="51" t="n"/>
      <c r="J380" s="51" t="n"/>
      <c r="K380" s="52" t="n"/>
      <c r="L380" s="53" t="str">
        <f>IF(AND(IF(ISNUMBER(F380),AND(F380&gt;=1,F380&lt;=10,F380=INT(F380)),FALSE),IF(ISNUMBER(H380),AND(H380&gt;=1,H380&lt;=10,H380=INT(H380)),FALSE),IF(ISNUMBER(K380),AND(K380&gt;=1,K380&lt;=10,K380=INT(K380)),FALSE)),F380*H380*K380,"")</f>
        <v/>
      </c>
      <c r="M380" s="54" t="str">
        <f>IF(L380="",IF(D380="","","À coter"),IF(OR(F380&gt;=p_gmin,L380&gt;=p_ipr_crit),"Critique",IF(L380&gt;=p_ipr_act,"Élevée",IF(L380&gt;=p_ipr_watch,"Moyenne","Faible"))))</f>
        <v/>
      </c>
      <c r="N380" s="54" t="str">
        <f>IF(OR(M380="",M380="À coter"),"",IF(OR(M380="Critique",M380="Élevée"),"Oui","Non"))</f>
        <v/>
      </c>
      <c r="O380" s="51" t="n"/>
      <c r="P380" s="51" t="n"/>
      <c r="Q380" s="55" t="n"/>
      <c r="R380" s="50" t="n"/>
      <c r="S380" s="55" t="n"/>
      <c r="T380" s="56" t="n"/>
      <c r="U380" s="52" t="n"/>
      <c r="V380" s="52" t="n"/>
      <c r="W380" s="52" t="n"/>
      <c r="X380" s="53" t="str">
        <f>IF(AND(L380&lt;&gt;"",IF(ISNUMBER(U380),AND(U380&gt;=1,U380&lt;=10,U380=INT(U380)),FALSE),IF(ISNUMBER(V380),AND(V380&gt;=1,V380&lt;=10,V380=INT(V380)),FALSE),IF(ISNUMBER(W380),AND(W380&gt;=1,W380&lt;=10,W380=INT(W380)),FALSE)),U380*V380*W380,"")</f>
        <v/>
      </c>
      <c r="Y380" s="54" t="str">
        <f>IF(X380="","",IF(OR(U380&gt;=p_gmin,X380&gt;=p_ipr_crit),"Critique",IF(X380&gt;=p_ipr_act,"Élevée",IF(X380&gt;=p_ipr_watch,"Moyenne","Faible"))))</f>
        <v/>
      </c>
      <c r="Z380" s="57" t="str">
        <f>IF(X380="","",(L380-X380)/L380)</f>
        <v/>
      </c>
      <c r="AA380" s="54" t="str">
        <f>IF(AND(D380="",O380=""),"",IF(O380="",IF(N380="Oui","Action à définir",IF(N380="Non","Sans action","")),IF(R380="Annulée","Annulée",IF(R380="Réalisée",IF(X380="","À réévaluer","Réalisée"),IF(N(Q380)=0,"Échéance manquante",IF(Q380&lt;p_today,"En retard",IF(Q380-p_today&lt;=p_alert,"Échéance proche","Dans les délais")))))))</f>
        <v/>
      </c>
      <c r="AB380" s="58" t="str">
        <f>IF(AND(A380="",B380="",D380="",F380="",H380="",K380="",O380=""),"",IF(D380="","Mode de défaillance manquant",IF(AND(A380&lt;&gt;"",COUNTIF(am_num,A380)&gt;1),"N° en double",IF(F380="","Gravité G manquante",IF(NOT(IF(ISNUMBER(F380),AND(F380&gt;=1,F380&lt;=10,F380=INT(F380)),FALSE)),"G : entier de 1 à 10",IF(H380="","Occurrence O manquante",IF(NOT(IF(ISNUMBER(H380),AND(H380&gt;=1,H380&lt;=10,H380=INT(H380)),FALSE)),"O : entier de 1 à 10",IF(K380="","Détection D manquante",IF(NOT(IF(ISNUMBER(K380),AND(K380&gt;=1,K380&lt;=10,K380=INT(K380)),FALSE)),"D : entier de 1 à 10",IF(G380="","Cause manquante",IF(AND(O380&lt;&gt;"",P380=""),"Responsable manquant",IF(AND(R380&lt;&gt;"",O380=""),"Statut sans action",IF(AND(R380="Réalisée",N(S380)=0),"Date de réalisation manquante",IF(AND(T380&lt;&gt;"",IF(ISNUMBER(T380),T380&lt;0,TRUE)),"Coût invalide",IF(AND(COUNTBLANK(U380:W380)&gt;0,COUNTBLANK(U380:W380)&lt;3),"Cotation après action incomplète",IF(AND(COUNTBLANK(U380:W380)=0,X380=""),"G', O', D' : entiers de 1 à 10",IF(AND(X380&lt;&gt;"",X380&gt;L380),"IPR après action plus élevé","OK")))))))))))))))))</f>
        <v/>
      </c>
      <c r="AC380" s="59" t="str">
        <f>IF(OR(AA380="En retard",AA380="Échéance proche",AA380="Dans les délais",AA380="Échéance manquante",AA380="Action à définir",AA380="À réévaluer"),IF(OR(plan_who="",P380=plan_who),IF(N(Q380)&gt;0,Q380,99999)*1000+ROW(),""),"")</f>
        <v/>
      </c>
      <c r="AD380" s="59" t="str">
        <f>IF(L380="","",L380*1000+1000-ROW())</f>
        <v/>
      </c>
      <c r="AE380" s="59" t="str">
        <f>IF(IF(AA380="En retard",1,IF(AA380="Action à définir",2,IF(AA380="Échéance manquante",3,IF(AA380="Échéance proche",4,IF(AA380="À réévaluer",5,0)))))=0,"",IF(AA380="En retard",1,IF(AA380="Action à définir",2,IF(AA380="Échéance manquante",3,IF(AA380="Échéance proche",4,IF(AA380="À réévaluer",5,0)))))*100000000+IF(N(Q380)&gt;0,Q380,99999)*1000+ROW())</f>
        <v/>
      </c>
      <c r="AF380" s="59" t="str">
        <f>IF(X380&lt;&gt;"",X380,L380)</f>
        <v/>
      </c>
      <c r="AG380" s="59" t="str">
        <f>IF(X380&lt;&gt;"",Y380,IF(L380&lt;&gt;"",M380,""))</f>
        <v/>
      </c>
      <c r="AH380" s="59" t="str">
        <f>IF(L380="","",IF(X380&lt;&gt;"",U380,F380))</f>
        <v/>
      </c>
      <c r="AI380" s="59" t="str">
        <f>IF(L380="","",IF(X380&lt;&gt;"",V380,H380))</f>
        <v/>
      </c>
    </row>
    <row r="381" ht="30" customHeight="1">
      <c r="A381" s="50" t="n"/>
      <c r="B381" s="51" t="n"/>
      <c r="C381" s="51" t="n"/>
      <c r="D381" s="51" t="n"/>
      <c r="E381" s="51" t="n"/>
      <c r="F381" s="52" t="n"/>
      <c r="G381" s="51" t="n"/>
      <c r="H381" s="52" t="n"/>
      <c r="I381" s="51" t="n"/>
      <c r="J381" s="51" t="n"/>
      <c r="K381" s="52" t="n"/>
      <c r="L381" s="53" t="str">
        <f>IF(AND(IF(ISNUMBER(F381),AND(F381&gt;=1,F381&lt;=10,F381=INT(F381)),FALSE),IF(ISNUMBER(H381),AND(H381&gt;=1,H381&lt;=10,H381=INT(H381)),FALSE),IF(ISNUMBER(K381),AND(K381&gt;=1,K381&lt;=10,K381=INT(K381)),FALSE)),F381*H381*K381,"")</f>
        <v/>
      </c>
      <c r="M381" s="54" t="str">
        <f>IF(L381="",IF(D381="","","À coter"),IF(OR(F381&gt;=p_gmin,L381&gt;=p_ipr_crit),"Critique",IF(L381&gt;=p_ipr_act,"Élevée",IF(L381&gt;=p_ipr_watch,"Moyenne","Faible"))))</f>
        <v/>
      </c>
      <c r="N381" s="54" t="str">
        <f>IF(OR(M381="",M381="À coter"),"",IF(OR(M381="Critique",M381="Élevée"),"Oui","Non"))</f>
        <v/>
      </c>
      <c r="O381" s="51" t="n"/>
      <c r="P381" s="51" t="n"/>
      <c r="Q381" s="55" t="n"/>
      <c r="R381" s="50" t="n"/>
      <c r="S381" s="55" t="n"/>
      <c r="T381" s="56" t="n"/>
      <c r="U381" s="52" t="n"/>
      <c r="V381" s="52" t="n"/>
      <c r="W381" s="52" t="n"/>
      <c r="X381" s="53" t="str">
        <f>IF(AND(L381&lt;&gt;"",IF(ISNUMBER(U381),AND(U381&gt;=1,U381&lt;=10,U381=INT(U381)),FALSE),IF(ISNUMBER(V381),AND(V381&gt;=1,V381&lt;=10,V381=INT(V381)),FALSE),IF(ISNUMBER(W381),AND(W381&gt;=1,W381&lt;=10,W381=INT(W381)),FALSE)),U381*V381*W381,"")</f>
        <v/>
      </c>
      <c r="Y381" s="54" t="str">
        <f>IF(X381="","",IF(OR(U381&gt;=p_gmin,X381&gt;=p_ipr_crit),"Critique",IF(X381&gt;=p_ipr_act,"Élevée",IF(X381&gt;=p_ipr_watch,"Moyenne","Faible"))))</f>
        <v/>
      </c>
      <c r="Z381" s="57" t="str">
        <f>IF(X381="","",(L381-X381)/L381)</f>
        <v/>
      </c>
      <c r="AA381" s="54" t="str">
        <f>IF(AND(D381="",O381=""),"",IF(O381="",IF(N381="Oui","Action à définir",IF(N381="Non","Sans action","")),IF(R381="Annulée","Annulée",IF(R381="Réalisée",IF(X381="","À réévaluer","Réalisée"),IF(N(Q381)=0,"Échéance manquante",IF(Q381&lt;p_today,"En retard",IF(Q381-p_today&lt;=p_alert,"Échéance proche","Dans les délais")))))))</f>
        <v/>
      </c>
      <c r="AB381" s="58" t="str">
        <f>IF(AND(A381="",B381="",D381="",F381="",H381="",K381="",O381=""),"",IF(D381="","Mode de défaillance manquant",IF(AND(A381&lt;&gt;"",COUNTIF(am_num,A381)&gt;1),"N° en double",IF(F381="","Gravité G manquante",IF(NOT(IF(ISNUMBER(F381),AND(F381&gt;=1,F381&lt;=10,F381=INT(F381)),FALSE)),"G : entier de 1 à 10",IF(H381="","Occurrence O manquante",IF(NOT(IF(ISNUMBER(H381),AND(H381&gt;=1,H381&lt;=10,H381=INT(H381)),FALSE)),"O : entier de 1 à 10",IF(K381="","Détection D manquante",IF(NOT(IF(ISNUMBER(K381),AND(K381&gt;=1,K381&lt;=10,K381=INT(K381)),FALSE)),"D : entier de 1 à 10",IF(G381="","Cause manquante",IF(AND(O381&lt;&gt;"",P381=""),"Responsable manquant",IF(AND(R381&lt;&gt;"",O381=""),"Statut sans action",IF(AND(R381="Réalisée",N(S381)=0),"Date de réalisation manquante",IF(AND(T381&lt;&gt;"",IF(ISNUMBER(T381),T381&lt;0,TRUE)),"Coût invalide",IF(AND(COUNTBLANK(U381:W381)&gt;0,COUNTBLANK(U381:W381)&lt;3),"Cotation après action incomplète",IF(AND(COUNTBLANK(U381:W381)=0,X381=""),"G', O', D' : entiers de 1 à 10",IF(AND(X381&lt;&gt;"",X381&gt;L381),"IPR après action plus élevé","OK")))))))))))))))))</f>
        <v/>
      </c>
      <c r="AC381" s="59" t="str">
        <f>IF(OR(AA381="En retard",AA381="Échéance proche",AA381="Dans les délais",AA381="Échéance manquante",AA381="Action à définir",AA381="À réévaluer"),IF(OR(plan_who="",P381=plan_who),IF(N(Q381)&gt;0,Q381,99999)*1000+ROW(),""),"")</f>
        <v/>
      </c>
      <c r="AD381" s="59" t="str">
        <f>IF(L381="","",L381*1000+1000-ROW())</f>
        <v/>
      </c>
      <c r="AE381" s="59" t="str">
        <f>IF(IF(AA381="En retard",1,IF(AA381="Action à définir",2,IF(AA381="Échéance manquante",3,IF(AA381="Échéance proche",4,IF(AA381="À réévaluer",5,0)))))=0,"",IF(AA381="En retard",1,IF(AA381="Action à définir",2,IF(AA381="Échéance manquante",3,IF(AA381="Échéance proche",4,IF(AA381="À réévaluer",5,0)))))*100000000+IF(N(Q381)&gt;0,Q381,99999)*1000+ROW())</f>
        <v/>
      </c>
      <c r="AF381" s="59" t="str">
        <f>IF(X381&lt;&gt;"",X381,L381)</f>
        <v/>
      </c>
      <c r="AG381" s="59" t="str">
        <f>IF(X381&lt;&gt;"",Y381,IF(L381&lt;&gt;"",M381,""))</f>
        <v/>
      </c>
      <c r="AH381" s="59" t="str">
        <f>IF(L381="","",IF(X381&lt;&gt;"",U381,F381))</f>
        <v/>
      </c>
      <c r="AI381" s="59" t="str">
        <f>IF(L381="","",IF(X381&lt;&gt;"",V381,H381))</f>
        <v/>
      </c>
    </row>
    <row r="382" ht="30" customHeight="1">
      <c r="A382" s="50" t="n"/>
      <c r="B382" s="51" t="n"/>
      <c r="C382" s="51" t="n"/>
      <c r="D382" s="51" t="n"/>
      <c r="E382" s="51" t="n"/>
      <c r="F382" s="52" t="n"/>
      <c r="G382" s="51" t="n"/>
      <c r="H382" s="52" t="n"/>
      <c r="I382" s="51" t="n"/>
      <c r="J382" s="51" t="n"/>
      <c r="K382" s="52" t="n"/>
      <c r="L382" s="53" t="str">
        <f>IF(AND(IF(ISNUMBER(F382),AND(F382&gt;=1,F382&lt;=10,F382=INT(F382)),FALSE),IF(ISNUMBER(H382),AND(H382&gt;=1,H382&lt;=10,H382=INT(H382)),FALSE),IF(ISNUMBER(K382),AND(K382&gt;=1,K382&lt;=10,K382=INT(K382)),FALSE)),F382*H382*K382,"")</f>
        <v/>
      </c>
      <c r="M382" s="54" t="str">
        <f>IF(L382="",IF(D382="","","À coter"),IF(OR(F382&gt;=p_gmin,L382&gt;=p_ipr_crit),"Critique",IF(L382&gt;=p_ipr_act,"Élevée",IF(L382&gt;=p_ipr_watch,"Moyenne","Faible"))))</f>
        <v/>
      </c>
      <c r="N382" s="54" t="str">
        <f>IF(OR(M382="",M382="À coter"),"",IF(OR(M382="Critique",M382="Élevée"),"Oui","Non"))</f>
        <v/>
      </c>
      <c r="O382" s="51" t="n"/>
      <c r="P382" s="51" t="n"/>
      <c r="Q382" s="55" t="n"/>
      <c r="R382" s="50" t="n"/>
      <c r="S382" s="55" t="n"/>
      <c r="T382" s="56" t="n"/>
      <c r="U382" s="52" t="n"/>
      <c r="V382" s="52" t="n"/>
      <c r="W382" s="52" t="n"/>
      <c r="X382" s="53" t="str">
        <f>IF(AND(L382&lt;&gt;"",IF(ISNUMBER(U382),AND(U382&gt;=1,U382&lt;=10,U382=INT(U382)),FALSE),IF(ISNUMBER(V382),AND(V382&gt;=1,V382&lt;=10,V382=INT(V382)),FALSE),IF(ISNUMBER(W382),AND(W382&gt;=1,W382&lt;=10,W382=INT(W382)),FALSE)),U382*V382*W382,"")</f>
        <v/>
      </c>
      <c r="Y382" s="54" t="str">
        <f>IF(X382="","",IF(OR(U382&gt;=p_gmin,X382&gt;=p_ipr_crit),"Critique",IF(X382&gt;=p_ipr_act,"Élevée",IF(X382&gt;=p_ipr_watch,"Moyenne","Faible"))))</f>
        <v/>
      </c>
      <c r="Z382" s="57" t="str">
        <f>IF(X382="","",(L382-X382)/L382)</f>
        <v/>
      </c>
      <c r="AA382" s="54" t="str">
        <f>IF(AND(D382="",O382=""),"",IF(O382="",IF(N382="Oui","Action à définir",IF(N382="Non","Sans action","")),IF(R382="Annulée","Annulée",IF(R382="Réalisée",IF(X382="","À réévaluer","Réalisée"),IF(N(Q382)=0,"Échéance manquante",IF(Q382&lt;p_today,"En retard",IF(Q382-p_today&lt;=p_alert,"Échéance proche","Dans les délais")))))))</f>
        <v/>
      </c>
      <c r="AB382" s="58" t="str">
        <f>IF(AND(A382="",B382="",D382="",F382="",H382="",K382="",O382=""),"",IF(D382="","Mode de défaillance manquant",IF(AND(A382&lt;&gt;"",COUNTIF(am_num,A382)&gt;1),"N° en double",IF(F382="","Gravité G manquante",IF(NOT(IF(ISNUMBER(F382),AND(F382&gt;=1,F382&lt;=10,F382=INT(F382)),FALSE)),"G : entier de 1 à 10",IF(H382="","Occurrence O manquante",IF(NOT(IF(ISNUMBER(H382),AND(H382&gt;=1,H382&lt;=10,H382=INT(H382)),FALSE)),"O : entier de 1 à 10",IF(K382="","Détection D manquante",IF(NOT(IF(ISNUMBER(K382),AND(K382&gt;=1,K382&lt;=10,K382=INT(K382)),FALSE)),"D : entier de 1 à 10",IF(G382="","Cause manquante",IF(AND(O382&lt;&gt;"",P382=""),"Responsable manquant",IF(AND(R382&lt;&gt;"",O382=""),"Statut sans action",IF(AND(R382="Réalisée",N(S382)=0),"Date de réalisation manquante",IF(AND(T382&lt;&gt;"",IF(ISNUMBER(T382),T382&lt;0,TRUE)),"Coût invalide",IF(AND(COUNTBLANK(U382:W382)&gt;0,COUNTBLANK(U382:W382)&lt;3),"Cotation après action incomplète",IF(AND(COUNTBLANK(U382:W382)=0,X382=""),"G', O', D' : entiers de 1 à 10",IF(AND(X382&lt;&gt;"",X382&gt;L382),"IPR après action plus élevé","OK")))))))))))))))))</f>
        <v/>
      </c>
      <c r="AC382" s="59" t="str">
        <f>IF(OR(AA382="En retard",AA382="Échéance proche",AA382="Dans les délais",AA382="Échéance manquante",AA382="Action à définir",AA382="À réévaluer"),IF(OR(plan_who="",P382=plan_who),IF(N(Q382)&gt;0,Q382,99999)*1000+ROW(),""),"")</f>
        <v/>
      </c>
      <c r="AD382" s="59" t="str">
        <f>IF(L382="","",L382*1000+1000-ROW())</f>
        <v/>
      </c>
      <c r="AE382" s="59" t="str">
        <f>IF(IF(AA382="En retard",1,IF(AA382="Action à définir",2,IF(AA382="Échéance manquante",3,IF(AA382="Échéance proche",4,IF(AA382="À réévaluer",5,0)))))=0,"",IF(AA382="En retard",1,IF(AA382="Action à définir",2,IF(AA382="Échéance manquante",3,IF(AA382="Échéance proche",4,IF(AA382="À réévaluer",5,0)))))*100000000+IF(N(Q382)&gt;0,Q382,99999)*1000+ROW())</f>
        <v/>
      </c>
      <c r="AF382" s="59" t="str">
        <f>IF(X382&lt;&gt;"",X382,L382)</f>
        <v/>
      </c>
      <c r="AG382" s="59" t="str">
        <f>IF(X382&lt;&gt;"",Y382,IF(L382&lt;&gt;"",M382,""))</f>
        <v/>
      </c>
      <c r="AH382" s="59" t="str">
        <f>IF(L382="","",IF(X382&lt;&gt;"",U382,F382))</f>
        <v/>
      </c>
      <c r="AI382" s="59" t="str">
        <f>IF(L382="","",IF(X382&lt;&gt;"",V382,H382))</f>
        <v/>
      </c>
    </row>
    <row r="383" ht="30" customHeight="1">
      <c r="A383" s="50" t="n"/>
      <c r="B383" s="51" t="n"/>
      <c r="C383" s="51" t="n"/>
      <c r="D383" s="51" t="n"/>
      <c r="E383" s="51" t="n"/>
      <c r="F383" s="52" t="n"/>
      <c r="G383" s="51" t="n"/>
      <c r="H383" s="52" t="n"/>
      <c r="I383" s="51" t="n"/>
      <c r="J383" s="51" t="n"/>
      <c r="K383" s="52" t="n"/>
      <c r="L383" s="53" t="str">
        <f>IF(AND(IF(ISNUMBER(F383),AND(F383&gt;=1,F383&lt;=10,F383=INT(F383)),FALSE),IF(ISNUMBER(H383),AND(H383&gt;=1,H383&lt;=10,H383=INT(H383)),FALSE),IF(ISNUMBER(K383),AND(K383&gt;=1,K383&lt;=10,K383=INT(K383)),FALSE)),F383*H383*K383,"")</f>
        <v/>
      </c>
      <c r="M383" s="54" t="str">
        <f>IF(L383="",IF(D383="","","À coter"),IF(OR(F383&gt;=p_gmin,L383&gt;=p_ipr_crit),"Critique",IF(L383&gt;=p_ipr_act,"Élevée",IF(L383&gt;=p_ipr_watch,"Moyenne","Faible"))))</f>
        <v/>
      </c>
      <c r="N383" s="54" t="str">
        <f>IF(OR(M383="",M383="À coter"),"",IF(OR(M383="Critique",M383="Élevée"),"Oui","Non"))</f>
        <v/>
      </c>
      <c r="O383" s="51" t="n"/>
      <c r="P383" s="51" t="n"/>
      <c r="Q383" s="55" t="n"/>
      <c r="R383" s="50" t="n"/>
      <c r="S383" s="55" t="n"/>
      <c r="T383" s="56" t="n"/>
      <c r="U383" s="52" t="n"/>
      <c r="V383" s="52" t="n"/>
      <c r="W383" s="52" t="n"/>
      <c r="X383" s="53" t="str">
        <f>IF(AND(L383&lt;&gt;"",IF(ISNUMBER(U383),AND(U383&gt;=1,U383&lt;=10,U383=INT(U383)),FALSE),IF(ISNUMBER(V383),AND(V383&gt;=1,V383&lt;=10,V383=INT(V383)),FALSE),IF(ISNUMBER(W383),AND(W383&gt;=1,W383&lt;=10,W383=INT(W383)),FALSE)),U383*V383*W383,"")</f>
        <v/>
      </c>
      <c r="Y383" s="54" t="str">
        <f>IF(X383="","",IF(OR(U383&gt;=p_gmin,X383&gt;=p_ipr_crit),"Critique",IF(X383&gt;=p_ipr_act,"Élevée",IF(X383&gt;=p_ipr_watch,"Moyenne","Faible"))))</f>
        <v/>
      </c>
      <c r="Z383" s="57" t="str">
        <f>IF(X383="","",(L383-X383)/L383)</f>
        <v/>
      </c>
      <c r="AA383" s="54" t="str">
        <f>IF(AND(D383="",O383=""),"",IF(O383="",IF(N383="Oui","Action à définir",IF(N383="Non","Sans action","")),IF(R383="Annulée","Annulée",IF(R383="Réalisée",IF(X383="","À réévaluer","Réalisée"),IF(N(Q383)=0,"Échéance manquante",IF(Q383&lt;p_today,"En retard",IF(Q383-p_today&lt;=p_alert,"Échéance proche","Dans les délais")))))))</f>
        <v/>
      </c>
      <c r="AB383" s="58" t="str">
        <f>IF(AND(A383="",B383="",D383="",F383="",H383="",K383="",O383=""),"",IF(D383="","Mode de défaillance manquant",IF(AND(A383&lt;&gt;"",COUNTIF(am_num,A383)&gt;1),"N° en double",IF(F383="","Gravité G manquante",IF(NOT(IF(ISNUMBER(F383),AND(F383&gt;=1,F383&lt;=10,F383=INT(F383)),FALSE)),"G : entier de 1 à 10",IF(H383="","Occurrence O manquante",IF(NOT(IF(ISNUMBER(H383),AND(H383&gt;=1,H383&lt;=10,H383=INT(H383)),FALSE)),"O : entier de 1 à 10",IF(K383="","Détection D manquante",IF(NOT(IF(ISNUMBER(K383),AND(K383&gt;=1,K383&lt;=10,K383=INT(K383)),FALSE)),"D : entier de 1 à 10",IF(G383="","Cause manquante",IF(AND(O383&lt;&gt;"",P383=""),"Responsable manquant",IF(AND(R383&lt;&gt;"",O383=""),"Statut sans action",IF(AND(R383="Réalisée",N(S383)=0),"Date de réalisation manquante",IF(AND(T383&lt;&gt;"",IF(ISNUMBER(T383),T383&lt;0,TRUE)),"Coût invalide",IF(AND(COUNTBLANK(U383:W383)&gt;0,COUNTBLANK(U383:W383)&lt;3),"Cotation après action incomplète",IF(AND(COUNTBLANK(U383:W383)=0,X383=""),"G', O', D' : entiers de 1 à 10",IF(AND(X383&lt;&gt;"",X383&gt;L383),"IPR après action plus élevé","OK")))))))))))))))))</f>
        <v/>
      </c>
      <c r="AC383" s="59" t="str">
        <f>IF(OR(AA383="En retard",AA383="Échéance proche",AA383="Dans les délais",AA383="Échéance manquante",AA383="Action à définir",AA383="À réévaluer"),IF(OR(plan_who="",P383=plan_who),IF(N(Q383)&gt;0,Q383,99999)*1000+ROW(),""),"")</f>
        <v/>
      </c>
      <c r="AD383" s="59" t="str">
        <f>IF(L383="","",L383*1000+1000-ROW())</f>
        <v/>
      </c>
      <c r="AE383" s="59" t="str">
        <f>IF(IF(AA383="En retard",1,IF(AA383="Action à définir",2,IF(AA383="Échéance manquante",3,IF(AA383="Échéance proche",4,IF(AA383="À réévaluer",5,0)))))=0,"",IF(AA383="En retard",1,IF(AA383="Action à définir",2,IF(AA383="Échéance manquante",3,IF(AA383="Échéance proche",4,IF(AA383="À réévaluer",5,0)))))*100000000+IF(N(Q383)&gt;0,Q383,99999)*1000+ROW())</f>
        <v/>
      </c>
      <c r="AF383" s="59" t="str">
        <f>IF(X383&lt;&gt;"",X383,L383)</f>
        <v/>
      </c>
      <c r="AG383" s="59" t="str">
        <f>IF(X383&lt;&gt;"",Y383,IF(L383&lt;&gt;"",M383,""))</f>
        <v/>
      </c>
      <c r="AH383" s="59" t="str">
        <f>IF(L383="","",IF(X383&lt;&gt;"",U383,F383))</f>
        <v/>
      </c>
      <c r="AI383" s="59" t="str">
        <f>IF(L383="","",IF(X383&lt;&gt;"",V383,H383))</f>
        <v/>
      </c>
    </row>
    <row r="384" ht="30" customHeight="1">
      <c r="A384" s="50" t="n"/>
      <c r="B384" s="51" t="n"/>
      <c r="C384" s="51" t="n"/>
      <c r="D384" s="51" t="n"/>
      <c r="E384" s="51" t="n"/>
      <c r="F384" s="52" t="n"/>
      <c r="G384" s="51" t="n"/>
      <c r="H384" s="52" t="n"/>
      <c r="I384" s="51" t="n"/>
      <c r="J384" s="51" t="n"/>
      <c r="K384" s="52" t="n"/>
      <c r="L384" s="53" t="str">
        <f>IF(AND(IF(ISNUMBER(F384),AND(F384&gt;=1,F384&lt;=10,F384=INT(F384)),FALSE),IF(ISNUMBER(H384),AND(H384&gt;=1,H384&lt;=10,H384=INT(H384)),FALSE),IF(ISNUMBER(K384),AND(K384&gt;=1,K384&lt;=10,K384=INT(K384)),FALSE)),F384*H384*K384,"")</f>
        <v/>
      </c>
      <c r="M384" s="54" t="str">
        <f>IF(L384="",IF(D384="","","À coter"),IF(OR(F384&gt;=p_gmin,L384&gt;=p_ipr_crit),"Critique",IF(L384&gt;=p_ipr_act,"Élevée",IF(L384&gt;=p_ipr_watch,"Moyenne","Faible"))))</f>
        <v/>
      </c>
      <c r="N384" s="54" t="str">
        <f>IF(OR(M384="",M384="À coter"),"",IF(OR(M384="Critique",M384="Élevée"),"Oui","Non"))</f>
        <v/>
      </c>
      <c r="O384" s="51" t="n"/>
      <c r="P384" s="51" t="n"/>
      <c r="Q384" s="55" t="n"/>
      <c r="R384" s="50" t="n"/>
      <c r="S384" s="55" t="n"/>
      <c r="T384" s="56" t="n"/>
      <c r="U384" s="52" t="n"/>
      <c r="V384" s="52" t="n"/>
      <c r="W384" s="52" t="n"/>
      <c r="X384" s="53" t="str">
        <f>IF(AND(L384&lt;&gt;"",IF(ISNUMBER(U384),AND(U384&gt;=1,U384&lt;=10,U384=INT(U384)),FALSE),IF(ISNUMBER(V384),AND(V384&gt;=1,V384&lt;=10,V384=INT(V384)),FALSE),IF(ISNUMBER(W384),AND(W384&gt;=1,W384&lt;=10,W384=INT(W384)),FALSE)),U384*V384*W384,"")</f>
        <v/>
      </c>
      <c r="Y384" s="54" t="str">
        <f>IF(X384="","",IF(OR(U384&gt;=p_gmin,X384&gt;=p_ipr_crit),"Critique",IF(X384&gt;=p_ipr_act,"Élevée",IF(X384&gt;=p_ipr_watch,"Moyenne","Faible"))))</f>
        <v/>
      </c>
      <c r="Z384" s="57" t="str">
        <f>IF(X384="","",(L384-X384)/L384)</f>
        <v/>
      </c>
      <c r="AA384" s="54" t="str">
        <f>IF(AND(D384="",O384=""),"",IF(O384="",IF(N384="Oui","Action à définir",IF(N384="Non","Sans action","")),IF(R384="Annulée","Annulée",IF(R384="Réalisée",IF(X384="","À réévaluer","Réalisée"),IF(N(Q384)=0,"Échéance manquante",IF(Q384&lt;p_today,"En retard",IF(Q384-p_today&lt;=p_alert,"Échéance proche","Dans les délais")))))))</f>
        <v/>
      </c>
      <c r="AB384" s="58" t="str">
        <f>IF(AND(A384="",B384="",D384="",F384="",H384="",K384="",O384=""),"",IF(D384="","Mode de défaillance manquant",IF(AND(A384&lt;&gt;"",COUNTIF(am_num,A384)&gt;1),"N° en double",IF(F384="","Gravité G manquante",IF(NOT(IF(ISNUMBER(F384),AND(F384&gt;=1,F384&lt;=10,F384=INT(F384)),FALSE)),"G : entier de 1 à 10",IF(H384="","Occurrence O manquante",IF(NOT(IF(ISNUMBER(H384),AND(H384&gt;=1,H384&lt;=10,H384=INT(H384)),FALSE)),"O : entier de 1 à 10",IF(K384="","Détection D manquante",IF(NOT(IF(ISNUMBER(K384),AND(K384&gt;=1,K384&lt;=10,K384=INT(K384)),FALSE)),"D : entier de 1 à 10",IF(G384="","Cause manquante",IF(AND(O384&lt;&gt;"",P384=""),"Responsable manquant",IF(AND(R384&lt;&gt;"",O384=""),"Statut sans action",IF(AND(R384="Réalisée",N(S384)=0),"Date de réalisation manquante",IF(AND(T384&lt;&gt;"",IF(ISNUMBER(T384),T384&lt;0,TRUE)),"Coût invalide",IF(AND(COUNTBLANK(U384:W384)&gt;0,COUNTBLANK(U384:W384)&lt;3),"Cotation après action incomplète",IF(AND(COUNTBLANK(U384:W384)=0,X384=""),"G', O', D' : entiers de 1 à 10",IF(AND(X384&lt;&gt;"",X384&gt;L384),"IPR après action plus élevé","OK")))))))))))))))))</f>
        <v/>
      </c>
      <c r="AC384" s="59" t="str">
        <f>IF(OR(AA384="En retard",AA384="Échéance proche",AA384="Dans les délais",AA384="Échéance manquante",AA384="Action à définir",AA384="À réévaluer"),IF(OR(plan_who="",P384=plan_who),IF(N(Q384)&gt;0,Q384,99999)*1000+ROW(),""),"")</f>
        <v/>
      </c>
      <c r="AD384" s="59" t="str">
        <f>IF(L384="","",L384*1000+1000-ROW())</f>
        <v/>
      </c>
      <c r="AE384" s="59" t="str">
        <f>IF(IF(AA384="En retard",1,IF(AA384="Action à définir",2,IF(AA384="Échéance manquante",3,IF(AA384="Échéance proche",4,IF(AA384="À réévaluer",5,0)))))=0,"",IF(AA384="En retard",1,IF(AA384="Action à définir",2,IF(AA384="Échéance manquante",3,IF(AA384="Échéance proche",4,IF(AA384="À réévaluer",5,0)))))*100000000+IF(N(Q384)&gt;0,Q384,99999)*1000+ROW())</f>
        <v/>
      </c>
      <c r="AF384" s="59" t="str">
        <f>IF(X384&lt;&gt;"",X384,L384)</f>
        <v/>
      </c>
      <c r="AG384" s="59" t="str">
        <f>IF(X384&lt;&gt;"",Y384,IF(L384&lt;&gt;"",M384,""))</f>
        <v/>
      </c>
      <c r="AH384" s="59" t="str">
        <f>IF(L384="","",IF(X384&lt;&gt;"",U384,F384))</f>
        <v/>
      </c>
      <c r="AI384" s="59" t="str">
        <f>IF(L384="","",IF(X384&lt;&gt;"",V384,H384))</f>
        <v/>
      </c>
    </row>
    <row r="385" ht="30" customHeight="1">
      <c r="A385" s="50" t="n"/>
      <c r="B385" s="51" t="n"/>
      <c r="C385" s="51" t="n"/>
      <c r="D385" s="51" t="n"/>
      <c r="E385" s="51" t="n"/>
      <c r="F385" s="52" t="n"/>
      <c r="G385" s="51" t="n"/>
      <c r="H385" s="52" t="n"/>
      <c r="I385" s="51" t="n"/>
      <c r="J385" s="51" t="n"/>
      <c r="K385" s="52" t="n"/>
      <c r="L385" s="53" t="str">
        <f>IF(AND(IF(ISNUMBER(F385),AND(F385&gt;=1,F385&lt;=10,F385=INT(F385)),FALSE),IF(ISNUMBER(H385),AND(H385&gt;=1,H385&lt;=10,H385=INT(H385)),FALSE),IF(ISNUMBER(K385),AND(K385&gt;=1,K385&lt;=10,K385=INT(K385)),FALSE)),F385*H385*K385,"")</f>
        <v/>
      </c>
      <c r="M385" s="54" t="str">
        <f>IF(L385="",IF(D385="","","À coter"),IF(OR(F385&gt;=p_gmin,L385&gt;=p_ipr_crit),"Critique",IF(L385&gt;=p_ipr_act,"Élevée",IF(L385&gt;=p_ipr_watch,"Moyenne","Faible"))))</f>
        <v/>
      </c>
      <c r="N385" s="54" t="str">
        <f>IF(OR(M385="",M385="À coter"),"",IF(OR(M385="Critique",M385="Élevée"),"Oui","Non"))</f>
        <v/>
      </c>
      <c r="O385" s="51" t="n"/>
      <c r="P385" s="51" t="n"/>
      <c r="Q385" s="55" t="n"/>
      <c r="R385" s="50" t="n"/>
      <c r="S385" s="55" t="n"/>
      <c r="T385" s="56" t="n"/>
      <c r="U385" s="52" t="n"/>
      <c r="V385" s="52" t="n"/>
      <c r="W385" s="52" t="n"/>
      <c r="X385" s="53" t="str">
        <f>IF(AND(L385&lt;&gt;"",IF(ISNUMBER(U385),AND(U385&gt;=1,U385&lt;=10,U385=INT(U385)),FALSE),IF(ISNUMBER(V385),AND(V385&gt;=1,V385&lt;=10,V385=INT(V385)),FALSE),IF(ISNUMBER(W385),AND(W385&gt;=1,W385&lt;=10,W385=INT(W385)),FALSE)),U385*V385*W385,"")</f>
        <v/>
      </c>
      <c r="Y385" s="54" t="str">
        <f>IF(X385="","",IF(OR(U385&gt;=p_gmin,X385&gt;=p_ipr_crit),"Critique",IF(X385&gt;=p_ipr_act,"Élevée",IF(X385&gt;=p_ipr_watch,"Moyenne","Faible"))))</f>
        <v/>
      </c>
      <c r="Z385" s="57" t="str">
        <f>IF(X385="","",(L385-X385)/L385)</f>
        <v/>
      </c>
      <c r="AA385" s="54" t="str">
        <f>IF(AND(D385="",O385=""),"",IF(O385="",IF(N385="Oui","Action à définir",IF(N385="Non","Sans action","")),IF(R385="Annulée","Annulée",IF(R385="Réalisée",IF(X385="","À réévaluer","Réalisée"),IF(N(Q385)=0,"Échéance manquante",IF(Q385&lt;p_today,"En retard",IF(Q385-p_today&lt;=p_alert,"Échéance proche","Dans les délais")))))))</f>
        <v/>
      </c>
      <c r="AB385" s="58" t="str">
        <f>IF(AND(A385="",B385="",D385="",F385="",H385="",K385="",O385=""),"",IF(D385="","Mode de défaillance manquant",IF(AND(A385&lt;&gt;"",COUNTIF(am_num,A385)&gt;1),"N° en double",IF(F385="","Gravité G manquante",IF(NOT(IF(ISNUMBER(F385),AND(F385&gt;=1,F385&lt;=10,F385=INT(F385)),FALSE)),"G : entier de 1 à 10",IF(H385="","Occurrence O manquante",IF(NOT(IF(ISNUMBER(H385),AND(H385&gt;=1,H385&lt;=10,H385=INT(H385)),FALSE)),"O : entier de 1 à 10",IF(K385="","Détection D manquante",IF(NOT(IF(ISNUMBER(K385),AND(K385&gt;=1,K385&lt;=10,K385=INT(K385)),FALSE)),"D : entier de 1 à 10",IF(G385="","Cause manquante",IF(AND(O385&lt;&gt;"",P385=""),"Responsable manquant",IF(AND(R385&lt;&gt;"",O385=""),"Statut sans action",IF(AND(R385="Réalisée",N(S385)=0),"Date de réalisation manquante",IF(AND(T385&lt;&gt;"",IF(ISNUMBER(T385),T385&lt;0,TRUE)),"Coût invalide",IF(AND(COUNTBLANK(U385:W385)&gt;0,COUNTBLANK(U385:W385)&lt;3),"Cotation après action incomplète",IF(AND(COUNTBLANK(U385:W385)=0,X385=""),"G', O', D' : entiers de 1 à 10",IF(AND(X385&lt;&gt;"",X385&gt;L385),"IPR après action plus élevé","OK")))))))))))))))))</f>
        <v/>
      </c>
      <c r="AC385" s="59" t="str">
        <f>IF(OR(AA385="En retard",AA385="Échéance proche",AA385="Dans les délais",AA385="Échéance manquante",AA385="Action à définir",AA385="À réévaluer"),IF(OR(plan_who="",P385=plan_who),IF(N(Q385)&gt;0,Q385,99999)*1000+ROW(),""),"")</f>
        <v/>
      </c>
      <c r="AD385" s="59" t="str">
        <f>IF(L385="","",L385*1000+1000-ROW())</f>
        <v/>
      </c>
      <c r="AE385" s="59" t="str">
        <f>IF(IF(AA385="En retard",1,IF(AA385="Action à définir",2,IF(AA385="Échéance manquante",3,IF(AA385="Échéance proche",4,IF(AA385="À réévaluer",5,0)))))=0,"",IF(AA385="En retard",1,IF(AA385="Action à définir",2,IF(AA385="Échéance manquante",3,IF(AA385="Échéance proche",4,IF(AA385="À réévaluer",5,0)))))*100000000+IF(N(Q385)&gt;0,Q385,99999)*1000+ROW())</f>
        <v/>
      </c>
      <c r="AF385" s="59" t="str">
        <f>IF(X385&lt;&gt;"",X385,L385)</f>
        <v/>
      </c>
      <c r="AG385" s="59" t="str">
        <f>IF(X385&lt;&gt;"",Y385,IF(L385&lt;&gt;"",M385,""))</f>
        <v/>
      </c>
      <c r="AH385" s="59" t="str">
        <f>IF(L385="","",IF(X385&lt;&gt;"",U385,F385))</f>
        <v/>
      </c>
      <c r="AI385" s="59" t="str">
        <f>IF(L385="","",IF(X385&lt;&gt;"",V385,H385))</f>
        <v/>
      </c>
    </row>
    <row r="386" ht="30" customHeight="1">
      <c r="A386" s="50" t="n"/>
      <c r="B386" s="51" t="n"/>
      <c r="C386" s="51" t="n"/>
      <c r="D386" s="51" t="n"/>
      <c r="E386" s="51" t="n"/>
      <c r="F386" s="52" t="n"/>
      <c r="G386" s="51" t="n"/>
      <c r="H386" s="52" t="n"/>
      <c r="I386" s="51" t="n"/>
      <c r="J386" s="51" t="n"/>
      <c r="K386" s="52" t="n"/>
      <c r="L386" s="53" t="str">
        <f>IF(AND(IF(ISNUMBER(F386),AND(F386&gt;=1,F386&lt;=10,F386=INT(F386)),FALSE),IF(ISNUMBER(H386),AND(H386&gt;=1,H386&lt;=10,H386=INT(H386)),FALSE),IF(ISNUMBER(K386),AND(K386&gt;=1,K386&lt;=10,K386=INT(K386)),FALSE)),F386*H386*K386,"")</f>
        <v/>
      </c>
      <c r="M386" s="54" t="str">
        <f>IF(L386="",IF(D386="","","À coter"),IF(OR(F386&gt;=p_gmin,L386&gt;=p_ipr_crit),"Critique",IF(L386&gt;=p_ipr_act,"Élevée",IF(L386&gt;=p_ipr_watch,"Moyenne","Faible"))))</f>
        <v/>
      </c>
      <c r="N386" s="54" t="str">
        <f>IF(OR(M386="",M386="À coter"),"",IF(OR(M386="Critique",M386="Élevée"),"Oui","Non"))</f>
        <v/>
      </c>
      <c r="O386" s="51" t="n"/>
      <c r="P386" s="51" t="n"/>
      <c r="Q386" s="55" t="n"/>
      <c r="R386" s="50" t="n"/>
      <c r="S386" s="55" t="n"/>
      <c r="T386" s="56" t="n"/>
      <c r="U386" s="52" t="n"/>
      <c r="V386" s="52" t="n"/>
      <c r="W386" s="52" t="n"/>
      <c r="X386" s="53" t="str">
        <f>IF(AND(L386&lt;&gt;"",IF(ISNUMBER(U386),AND(U386&gt;=1,U386&lt;=10,U386=INT(U386)),FALSE),IF(ISNUMBER(V386),AND(V386&gt;=1,V386&lt;=10,V386=INT(V386)),FALSE),IF(ISNUMBER(W386),AND(W386&gt;=1,W386&lt;=10,W386=INT(W386)),FALSE)),U386*V386*W386,"")</f>
        <v/>
      </c>
      <c r="Y386" s="54" t="str">
        <f>IF(X386="","",IF(OR(U386&gt;=p_gmin,X386&gt;=p_ipr_crit),"Critique",IF(X386&gt;=p_ipr_act,"Élevée",IF(X386&gt;=p_ipr_watch,"Moyenne","Faible"))))</f>
        <v/>
      </c>
      <c r="Z386" s="57" t="str">
        <f>IF(X386="","",(L386-X386)/L386)</f>
        <v/>
      </c>
      <c r="AA386" s="54" t="str">
        <f>IF(AND(D386="",O386=""),"",IF(O386="",IF(N386="Oui","Action à définir",IF(N386="Non","Sans action","")),IF(R386="Annulée","Annulée",IF(R386="Réalisée",IF(X386="","À réévaluer","Réalisée"),IF(N(Q386)=0,"Échéance manquante",IF(Q386&lt;p_today,"En retard",IF(Q386-p_today&lt;=p_alert,"Échéance proche","Dans les délais")))))))</f>
        <v/>
      </c>
      <c r="AB386" s="58" t="str">
        <f>IF(AND(A386="",B386="",D386="",F386="",H386="",K386="",O386=""),"",IF(D386="","Mode de défaillance manquant",IF(AND(A386&lt;&gt;"",COUNTIF(am_num,A386)&gt;1),"N° en double",IF(F386="","Gravité G manquante",IF(NOT(IF(ISNUMBER(F386),AND(F386&gt;=1,F386&lt;=10,F386=INT(F386)),FALSE)),"G : entier de 1 à 10",IF(H386="","Occurrence O manquante",IF(NOT(IF(ISNUMBER(H386),AND(H386&gt;=1,H386&lt;=10,H386=INT(H386)),FALSE)),"O : entier de 1 à 10",IF(K386="","Détection D manquante",IF(NOT(IF(ISNUMBER(K386),AND(K386&gt;=1,K386&lt;=10,K386=INT(K386)),FALSE)),"D : entier de 1 à 10",IF(G386="","Cause manquante",IF(AND(O386&lt;&gt;"",P386=""),"Responsable manquant",IF(AND(R386&lt;&gt;"",O386=""),"Statut sans action",IF(AND(R386="Réalisée",N(S386)=0),"Date de réalisation manquante",IF(AND(T386&lt;&gt;"",IF(ISNUMBER(T386),T386&lt;0,TRUE)),"Coût invalide",IF(AND(COUNTBLANK(U386:W386)&gt;0,COUNTBLANK(U386:W386)&lt;3),"Cotation après action incomplète",IF(AND(COUNTBLANK(U386:W386)=0,X386=""),"G', O', D' : entiers de 1 à 10",IF(AND(X386&lt;&gt;"",X386&gt;L386),"IPR après action plus élevé","OK")))))))))))))))))</f>
        <v/>
      </c>
      <c r="AC386" s="59" t="str">
        <f>IF(OR(AA386="En retard",AA386="Échéance proche",AA386="Dans les délais",AA386="Échéance manquante",AA386="Action à définir",AA386="À réévaluer"),IF(OR(plan_who="",P386=plan_who),IF(N(Q386)&gt;0,Q386,99999)*1000+ROW(),""),"")</f>
        <v/>
      </c>
      <c r="AD386" s="59" t="str">
        <f>IF(L386="","",L386*1000+1000-ROW())</f>
        <v/>
      </c>
      <c r="AE386" s="59" t="str">
        <f>IF(IF(AA386="En retard",1,IF(AA386="Action à définir",2,IF(AA386="Échéance manquante",3,IF(AA386="Échéance proche",4,IF(AA386="À réévaluer",5,0)))))=0,"",IF(AA386="En retard",1,IF(AA386="Action à définir",2,IF(AA386="Échéance manquante",3,IF(AA386="Échéance proche",4,IF(AA386="À réévaluer",5,0)))))*100000000+IF(N(Q386)&gt;0,Q386,99999)*1000+ROW())</f>
        <v/>
      </c>
      <c r="AF386" s="59" t="str">
        <f>IF(X386&lt;&gt;"",X386,L386)</f>
        <v/>
      </c>
      <c r="AG386" s="59" t="str">
        <f>IF(X386&lt;&gt;"",Y386,IF(L386&lt;&gt;"",M386,""))</f>
        <v/>
      </c>
      <c r="AH386" s="59" t="str">
        <f>IF(L386="","",IF(X386&lt;&gt;"",U386,F386))</f>
        <v/>
      </c>
      <c r="AI386" s="59" t="str">
        <f>IF(L386="","",IF(X386&lt;&gt;"",V386,H386))</f>
        <v/>
      </c>
    </row>
    <row r="387" ht="30" customHeight="1">
      <c r="A387" s="50" t="n"/>
      <c r="B387" s="51" t="n"/>
      <c r="C387" s="51" t="n"/>
      <c r="D387" s="51" t="n"/>
      <c r="E387" s="51" t="n"/>
      <c r="F387" s="52" t="n"/>
      <c r="G387" s="51" t="n"/>
      <c r="H387" s="52" t="n"/>
      <c r="I387" s="51" t="n"/>
      <c r="J387" s="51" t="n"/>
      <c r="K387" s="52" t="n"/>
      <c r="L387" s="53" t="str">
        <f>IF(AND(IF(ISNUMBER(F387),AND(F387&gt;=1,F387&lt;=10,F387=INT(F387)),FALSE),IF(ISNUMBER(H387),AND(H387&gt;=1,H387&lt;=10,H387=INT(H387)),FALSE),IF(ISNUMBER(K387),AND(K387&gt;=1,K387&lt;=10,K387=INT(K387)),FALSE)),F387*H387*K387,"")</f>
        <v/>
      </c>
      <c r="M387" s="54" t="str">
        <f>IF(L387="",IF(D387="","","À coter"),IF(OR(F387&gt;=p_gmin,L387&gt;=p_ipr_crit),"Critique",IF(L387&gt;=p_ipr_act,"Élevée",IF(L387&gt;=p_ipr_watch,"Moyenne","Faible"))))</f>
        <v/>
      </c>
      <c r="N387" s="54" t="str">
        <f>IF(OR(M387="",M387="À coter"),"",IF(OR(M387="Critique",M387="Élevée"),"Oui","Non"))</f>
        <v/>
      </c>
      <c r="O387" s="51" t="n"/>
      <c r="P387" s="51" t="n"/>
      <c r="Q387" s="55" t="n"/>
      <c r="R387" s="50" t="n"/>
      <c r="S387" s="55" t="n"/>
      <c r="T387" s="56" t="n"/>
      <c r="U387" s="52" t="n"/>
      <c r="V387" s="52" t="n"/>
      <c r="W387" s="52" t="n"/>
      <c r="X387" s="53" t="str">
        <f>IF(AND(L387&lt;&gt;"",IF(ISNUMBER(U387),AND(U387&gt;=1,U387&lt;=10,U387=INT(U387)),FALSE),IF(ISNUMBER(V387),AND(V387&gt;=1,V387&lt;=10,V387=INT(V387)),FALSE),IF(ISNUMBER(W387),AND(W387&gt;=1,W387&lt;=10,W387=INT(W387)),FALSE)),U387*V387*W387,"")</f>
        <v/>
      </c>
      <c r="Y387" s="54" t="str">
        <f>IF(X387="","",IF(OR(U387&gt;=p_gmin,X387&gt;=p_ipr_crit),"Critique",IF(X387&gt;=p_ipr_act,"Élevée",IF(X387&gt;=p_ipr_watch,"Moyenne","Faible"))))</f>
        <v/>
      </c>
      <c r="Z387" s="57" t="str">
        <f>IF(X387="","",(L387-X387)/L387)</f>
        <v/>
      </c>
      <c r="AA387" s="54" t="str">
        <f>IF(AND(D387="",O387=""),"",IF(O387="",IF(N387="Oui","Action à définir",IF(N387="Non","Sans action","")),IF(R387="Annulée","Annulée",IF(R387="Réalisée",IF(X387="","À réévaluer","Réalisée"),IF(N(Q387)=0,"Échéance manquante",IF(Q387&lt;p_today,"En retard",IF(Q387-p_today&lt;=p_alert,"Échéance proche","Dans les délais")))))))</f>
        <v/>
      </c>
      <c r="AB387" s="58" t="str">
        <f>IF(AND(A387="",B387="",D387="",F387="",H387="",K387="",O387=""),"",IF(D387="","Mode de défaillance manquant",IF(AND(A387&lt;&gt;"",COUNTIF(am_num,A387)&gt;1),"N° en double",IF(F387="","Gravité G manquante",IF(NOT(IF(ISNUMBER(F387),AND(F387&gt;=1,F387&lt;=10,F387=INT(F387)),FALSE)),"G : entier de 1 à 10",IF(H387="","Occurrence O manquante",IF(NOT(IF(ISNUMBER(H387),AND(H387&gt;=1,H387&lt;=10,H387=INT(H387)),FALSE)),"O : entier de 1 à 10",IF(K387="","Détection D manquante",IF(NOT(IF(ISNUMBER(K387),AND(K387&gt;=1,K387&lt;=10,K387=INT(K387)),FALSE)),"D : entier de 1 à 10",IF(G387="","Cause manquante",IF(AND(O387&lt;&gt;"",P387=""),"Responsable manquant",IF(AND(R387&lt;&gt;"",O387=""),"Statut sans action",IF(AND(R387="Réalisée",N(S387)=0),"Date de réalisation manquante",IF(AND(T387&lt;&gt;"",IF(ISNUMBER(T387),T387&lt;0,TRUE)),"Coût invalide",IF(AND(COUNTBLANK(U387:W387)&gt;0,COUNTBLANK(U387:W387)&lt;3),"Cotation après action incomplète",IF(AND(COUNTBLANK(U387:W387)=0,X387=""),"G', O', D' : entiers de 1 à 10",IF(AND(X387&lt;&gt;"",X387&gt;L387),"IPR après action plus élevé","OK")))))))))))))))))</f>
        <v/>
      </c>
      <c r="AC387" s="59" t="str">
        <f>IF(OR(AA387="En retard",AA387="Échéance proche",AA387="Dans les délais",AA387="Échéance manquante",AA387="Action à définir",AA387="À réévaluer"),IF(OR(plan_who="",P387=plan_who),IF(N(Q387)&gt;0,Q387,99999)*1000+ROW(),""),"")</f>
        <v/>
      </c>
      <c r="AD387" s="59" t="str">
        <f>IF(L387="","",L387*1000+1000-ROW())</f>
        <v/>
      </c>
      <c r="AE387" s="59" t="str">
        <f>IF(IF(AA387="En retard",1,IF(AA387="Action à définir",2,IF(AA387="Échéance manquante",3,IF(AA387="Échéance proche",4,IF(AA387="À réévaluer",5,0)))))=0,"",IF(AA387="En retard",1,IF(AA387="Action à définir",2,IF(AA387="Échéance manquante",3,IF(AA387="Échéance proche",4,IF(AA387="À réévaluer",5,0)))))*100000000+IF(N(Q387)&gt;0,Q387,99999)*1000+ROW())</f>
        <v/>
      </c>
      <c r="AF387" s="59" t="str">
        <f>IF(X387&lt;&gt;"",X387,L387)</f>
        <v/>
      </c>
      <c r="AG387" s="59" t="str">
        <f>IF(X387&lt;&gt;"",Y387,IF(L387&lt;&gt;"",M387,""))</f>
        <v/>
      </c>
      <c r="AH387" s="59" t="str">
        <f>IF(L387="","",IF(X387&lt;&gt;"",U387,F387))</f>
        <v/>
      </c>
      <c r="AI387" s="59" t="str">
        <f>IF(L387="","",IF(X387&lt;&gt;"",V387,H387))</f>
        <v/>
      </c>
    </row>
    <row r="388" ht="30" customHeight="1">
      <c r="A388" s="50" t="n"/>
      <c r="B388" s="51" t="n"/>
      <c r="C388" s="51" t="n"/>
      <c r="D388" s="51" t="n"/>
      <c r="E388" s="51" t="n"/>
      <c r="F388" s="52" t="n"/>
      <c r="G388" s="51" t="n"/>
      <c r="H388" s="52" t="n"/>
      <c r="I388" s="51" t="n"/>
      <c r="J388" s="51" t="n"/>
      <c r="K388" s="52" t="n"/>
      <c r="L388" s="53" t="str">
        <f>IF(AND(IF(ISNUMBER(F388),AND(F388&gt;=1,F388&lt;=10,F388=INT(F388)),FALSE),IF(ISNUMBER(H388),AND(H388&gt;=1,H388&lt;=10,H388=INT(H388)),FALSE),IF(ISNUMBER(K388),AND(K388&gt;=1,K388&lt;=10,K388=INT(K388)),FALSE)),F388*H388*K388,"")</f>
        <v/>
      </c>
      <c r="M388" s="54" t="str">
        <f>IF(L388="",IF(D388="","","À coter"),IF(OR(F388&gt;=p_gmin,L388&gt;=p_ipr_crit),"Critique",IF(L388&gt;=p_ipr_act,"Élevée",IF(L388&gt;=p_ipr_watch,"Moyenne","Faible"))))</f>
        <v/>
      </c>
      <c r="N388" s="54" t="str">
        <f>IF(OR(M388="",M388="À coter"),"",IF(OR(M388="Critique",M388="Élevée"),"Oui","Non"))</f>
        <v/>
      </c>
      <c r="O388" s="51" t="n"/>
      <c r="P388" s="51" t="n"/>
      <c r="Q388" s="55" t="n"/>
      <c r="R388" s="50" t="n"/>
      <c r="S388" s="55" t="n"/>
      <c r="T388" s="56" t="n"/>
      <c r="U388" s="52" t="n"/>
      <c r="V388" s="52" t="n"/>
      <c r="W388" s="52" t="n"/>
      <c r="X388" s="53" t="str">
        <f>IF(AND(L388&lt;&gt;"",IF(ISNUMBER(U388),AND(U388&gt;=1,U388&lt;=10,U388=INT(U388)),FALSE),IF(ISNUMBER(V388),AND(V388&gt;=1,V388&lt;=10,V388=INT(V388)),FALSE),IF(ISNUMBER(W388),AND(W388&gt;=1,W388&lt;=10,W388=INT(W388)),FALSE)),U388*V388*W388,"")</f>
        <v/>
      </c>
      <c r="Y388" s="54" t="str">
        <f>IF(X388="","",IF(OR(U388&gt;=p_gmin,X388&gt;=p_ipr_crit),"Critique",IF(X388&gt;=p_ipr_act,"Élevée",IF(X388&gt;=p_ipr_watch,"Moyenne","Faible"))))</f>
        <v/>
      </c>
      <c r="Z388" s="57" t="str">
        <f>IF(X388="","",(L388-X388)/L388)</f>
        <v/>
      </c>
      <c r="AA388" s="54" t="str">
        <f>IF(AND(D388="",O388=""),"",IF(O388="",IF(N388="Oui","Action à définir",IF(N388="Non","Sans action","")),IF(R388="Annulée","Annulée",IF(R388="Réalisée",IF(X388="","À réévaluer","Réalisée"),IF(N(Q388)=0,"Échéance manquante",IF(Q388&lt;p_today,"En retard",IF(Q388-p_today&lt;=p_alert,"Échéance proche","Dans les délais")))))))</f>
        <v/>
      </c>
      <c r="AB388" s="58" t="str">
        <f>IF(AND(A388="",B388="",D388="",F388="",H388="",K388="",O388=""),"",IF(D388="","Mode de défaillance manquant",IF(AND(A388&lt;&gt;"",COUNTIF(am_num,A388)&gt;1),"N° en double",IF(F388="","Gravité G manquante",IF(NOT(IF(ISNUMBER(F388),AND(F388&gt;=1,F388&lt;=10,F388=INT(F388)),FALSE)),"G : entier de 1 à 10",IF(H388="","Occurrence O manquante",IF(NOT(IF(ISNUMBER(H388),AND(H388&gt;=1,H388&lt;=10,H388=INT(H388)),FALSE)),"O : entier de 1 à 10",IF(K388="","Détection D manquante",IF(NOT(IF(ISNUMBER(K388),AND(K388&gt;=1,K388&lt;=10,K388=INT(K388)),FALSE)),"D : entier de 1 à 10",IF(G388="","Cause manquante",IF(AND(O388&lt;&gt;"",P388=""),"Responsable manquant",IF(AND(R388&lt;&gt;"",O388=""),"Statut sans action",IF(AND(R388="Réalisée",N(S388)=0),"Date de réalisation manquante",IF(AND(T388&lt;&gt;"",IF(ISNUMBER(T388),T388&lt;0,TRUE)),"Coût invalide",IF(AND(COUNTBLANK(U388:W388)&gt;0,COUNTBLANK(U388:W388)&lt;3),"Cotation après action incomplète",IF(AND(COUNTBLANK(U388:W388)=0,X388=""),"G', O', D' : entiers de 1 à 10",IF(AND(X388&lt;&gt;"",X388&gt;L388),"IPR après action plus élevé","OK")))))))))))))))))</f>
        <v/>
      </c>
      <c r="AC388" s="59" t="str">
        <f>IF(OR(AA388="En retard",AA388="Échéance proche",AA388="Dans les délais",AA388="Échéance manquante",AA388="Action à définir",AA388="À réévaluer"),IF(OR(plan_who="",P388=plan_who),IF(N(Q388)&gt;0,Q388,99999)*1000+ROW(),""),"")</f>
        <v/>
      </c>
      <c r="AD388" s="59" t="str">
        <f>IF(L388="","",L388*1000+1000-ROW())</f>
        <v/>
      </c>
      <c r="AE388" s="59" t="str">
        <f>IF(IF(AA388="En retard",1,IF(AA388="Action à définir",2,IF(AA388="Échéance manquante",3,IF(AA388="Échéance proche",4,IF(AA388="À réévaluer",5,0)))))=0,"",IF(AA388="En retard",1,IF(AA388="Action à définir",2,IF(AA388="Échéance manquante",3,IF(AA388="Échéance proche",4,IF(AA388="À réévaluer",5,0)))))*100000000+IF(N(Q388)&gt;0,Q388,99999)*1000+ROW())</f>
        <v/>
      </c>
      <c r="AF388" s="59" t="str">
        <f>IF(X388&lt;&gt;"",X388,L388)</f>
        <v/>
      </c>
      <c r="AG388" s="59" t="str">
        <f>IF(X388&lt;&gt;"",Y388,IF(L388&lt;&gt;"",M388,""))</f>
        <v/>
      </c>
      <c r="AH388" s="59" t="str">
        <f>IF(L388="","",IF(X388&lt;&gt;"",U388,F388))</f>
        <v/>
      </c>
      <c r="AI388" s="59" t="str">
        <f>IF(L388="","",IF(X388&lt;&gt;"",V388,H388))</f>
        <v/>
      </c>
    </row>
    <row r="389" ht="30" customHeight="1">
      <c r="A389" s="50" t="n"/>
      <c r="B389" s="51" t="n"/>
      <c r="C389" s="51" t="n"/>
      <c r="D389" s="51" t="n"/>
      <c r="E389" s="51" t="n"/>
      <c r="F389" s="52" t="n"/>
      <c r="G389" s="51" t="n"/>
      <c r="H389" s="52" t="n"/>
      <c r="I389" s="51" t="n"/>
      <c r="J389" s="51" t="n"/>
      <c r="K389" s="52" t="n"/>
      <c r="L389" s="53" t="str">
        <f>IF(AND(IF(ISNUMBER(F389),AND(F389&gt;=1,F389&lt;=10,F389=INT(F389)),FALSE),IF(ISNUMBER(H389),AND(H389&gt;=1,H389&lt;=10,H389=INT(H389)),FALSE),IF(ISNUMBER(K389),AND(K389&gt;=1,K389&lt;=10,K389=INT(K389)),FALSE)),F389*H389*K389,"")</f>
        <v/>
      </c>
      <c r="M389" s="54" t="str">
        <f>IF(L389="",IF(D389="","","À coter"),IF(OR(F389&gt;=p_gmin,L389&gt;=p_ipr_crit),"Critique",IF(L389&gt;=p_ipr_act,"Élevée",IF(L389&gt;=p_ipr_watch,"Moyenne","Faible"))))</f>
        <v/>
      </c>
      <c r="N389" s="54" t="str">
        <f>IF(OR(M389="",M389="À coter"),"",IF(OR(M389="Critique",M389="Élevée"),"Oui","Non"))</f>
        <v/>
      </c>
      <c r="O389" s="51" t="n"/>
      <c r="P389" s="51" t="n"/>
      <c r="Q389" s="55" t="n"/>
      <c r="R389" s="50" t="n"/>
      <c r="S389" s="55" t="n"/>
      <c r="T389" s="56" t="n"/>
      <c r="U389" s="52" t="n"/>
      <c r="V389" s="52" t="n"/>
      <c r="W389" s="52" t="n"/>
      <c r="X389" s="53" t="str">
        <f>IF(AND(L389&lt;&gt;"",IF(ISNUMBER(U389),AND(U389&gt;=1,U389&lt;=10,U389=INT(U389)),FALSE),IF(ISNUMBER(V389),AND(V389&gt;=1,V389&lt;=10,V389=INT(V389)),FALSE),IF(ISNUMBER(W389),AND(W389&gt;=1,W389&lt;=10,W389=INT(W389)),FALSE)),U389*V389*W389,"")</f>
        <v/>
      </c>
      <c r="Y389" s="54" t="str">
        <f>IF(X389="","",IF(OR(U389&gt;=p_gmin,X389&gt;=p_ipr_crit),"Critique",IF(X389&gt;=p_ipr_act,"Élevée",IF(X389&gt;=p_ipr_watch,"Moyenne","Faible"))))</f>
        <v/>
      </c>
      <c r="Z389" s="57" t="str">
        <f>IF(X389="","",(L389-X389)/L389)</f>
        <v/>
      </c>
      <c r="AA389" s="54" t="str">
        <f>IF(AND(D389="",O389=""),"",IF(O389="",IF(N389="Oui","Action à définir",IF(N389="Non","Sans action","")),IF(R389="Annulée","Annulée",IF(R389="Réalisée",IF(X389="","À réévaluer","Réalisée"),IF(N(Q389)=0,"Échéance manquante",IF(Q389&lt;p_today,"En retard",IF(Q389-p_today&lt;=p_alert,"Échéance proche","Dans les délais")))))))</f>
        <v/>
      </c>
      <c r="AB389" s="58" t="str">
        <f>IF(AND(A389="",B389="",D389="",F389="",H389="",K389="",O389=""),"",IF(D389="","Mode de défaillance manquant",IF(AND(A389&lt;&gt;"",COUNTIF(am_num,A389)&gt;1),"N° en double",IF(F389="","Gravité G manquante",IF(NOT(IF(ISNUMBER(F389),AND(F389&gt;=1,F389&lt;=10,F389=INT(F389)),FALSE)),"G : entier de 1 à 10",IF(H389="","Occurrence O manquante",IF(NOT(IF(ISNUMBER(H389),AND(H389&gt;=1,H389&lt;=10,H389=INT(H389)),FALSE)),"O : entier de 1 à 10",IF(K389="","Détection D manquante",IF(NOT(IF(ISNUMBER(K389),AND(K389&gt;=1,K389&lt;=10,K389=INT(K389)),FALSE)),"D : entier de 1 à 10",IF(G389="","Cause manquante",IF(AND(O389&lt;&gt;"",P389=""),"Responsable manquant",IF(AND(R389&lt;&gt;"",O389=""),"Statut sans action",IF(AND(R389="Réalisée",N(S389)=0),"Date de réalisation manquante",IF(AND(T389&lt;&gt;"",IF(ISNUMBER(T389),T389&lt;0,TRUE)),"Coût invalide",IF(AND(COUNTBLANK(U389:W389)&gt;0,COUNTBLANK(U389:W389)&lt;3),"Cotation après action incomplète",IF(AND(COUNTBLANK(U389:W389)=0,X389=""),"G', O', D' : entiers de 1 à 10",IF(AND(X389&lt;&gt;"",X389&gt;L389),"IPR après action plus élevé","OK")))))))))))))))))</f>
        <v/>
      </c>
      <c r="AC389" s="59" t="str">
        <f>IF(OR(AA389="En retard",AA389="Échéance proche",AA389="Dans les délais",AA389="Échéance manquante",AA389="Action à définir",AA389="À réévaluer"),IF(OR(plan_who="",P389=plan_who),IF(N(Q389)&gt;0,Q389,99999)*1000+ROW(),""),"")</f>
        <v/>
      </c>
      <c r="AD389" s="59" t="str">
        <f>IF(L389="","",L389*1000+1000-ROW())</f>
        <v/>
      </c>
      <c r="AE389" s="59" t="str">
        <f>IF(IF(AA389="En retard",1,IF(AA389="Action à définir",2,IF(AA389="Échéance manquante",3,IF(AA389="Échéance proche",4,IF(AA389="À réévaluer",5,0)))))=0,"",IF(AA389="En retard",1,IF(AA389="Action à définir",2,IF(AA389="Échéance manquante",3,IF(AA389="Échéance proche",4,IF(AA389="À réévaluer",5,0)))))*100000000+IF(N(Q389)&gt;0,Q389,99999)*1000+ROW())</f>
        <v/>
      </c>
      <c r="AF389" s="59" t="str">
        <f>IF(X389&lt;&gt;"",X389,L389)</f>
        <v/>
      </c>
      <c r="AG389" s="59" t="str">
        <f>IF(X389&lt;&gt;"",Y389,IF(L389&lt;&gt;"",M389,""))</f>
        <v/>
      </c>
      <c r="AH389" s="59" t="str">
        <f>IF(L389="","",IF(X389&lt;&gt;"",U389,F389))</f>
        <v/>
      </c>
      <c r="AI389" s="59" t="str">
        <f>IF(L389="","",IF(X389&lt;&gt;"",V389,H389))</f>
        <v/>
      </c>
    </row>
    <row r="390" ht="30" customHeight="1">
      <c r="A390" s="50" t="n"/>
      <c r="B390" s="51" t="n"/>
      <c r="C390" s="51" t="n"/>
      <c r="D390" s="51" t="n"/>
      <c r="E390" s="51" t="n"/>
      <c r="F390" s="52" t="n"/>
      <c r="G390" s="51" t="n"/>
      <c r="H390" s="52" t="n"/>
      <c r="I390" s="51" t="n"/>
      <c r="J390" s="51" t="n"/>
      <c r="K390" s="52" t="n"/>
      <c r="L390" s="53" t="str">
        <f>IF(AND(IF(ISNUMBER(F390),AND(F390&gt;=1,F390&lt;=10,F390=INT(F390)),FALSE),IF(ISNUMBER(H390),AND(H390&gt;=1,H390&lt;=10,H390=INT(H390)),FALSE),IF(ISNUMBER(K390),AND(K390&gt;=1,K390&lt;=10,K390=INT(K390)),FALSE)),F390*H390*K390,"")</f>
        <v/>
      </c>
      <c r="M390" s="54" t="str">
        <f>IF(L390="",IF(D390="","","À coter"),IF(OR(F390&gt;=p_gmin,L390&gt;=p_ipr_crit),"Critique",IF(L390&gt;=p_ipr_act,"Élevée",IF(L390&gt;=p_ipr_watch,"Moyenne","Faible"))))</f>
        <v/>
      </c>
      <c r="N390" s="54" t="str">
        <f>IF(OR(M390="",M390="À coter"),"",IF(OR(M390="Critique",M390="Élevée"),"Oui","Non"))</f>
        <v/>
      </c>
      <c r="O390" s="51" t="n"/>
      <c r="P390" s="51" t="n"/>
      <c r="Q390" s="55" t="n"/>
      <c r="R390" s="50" t="n"/>
      <c r="S390" s="55" t="n"/>
      <c r="T390" s="56" t="n"/>
      <c r="U390" s="52" t="n"/>
      <c r="V390" s="52" t="n"/>
      <c r="W390" s="52" t="n"/>
      <c r="X390" s="53" t="str">
        <f>IF(AND(L390&lt;&gt;"",IF(ISNUMBER(U390),AND(U390&gt;=1,U390&lt;=10,U390=INT(U390)),FALSE),IF(ISNUMBER(V390),AND(V390&gt;=1,V390&lt;=10,V390=INT(V390)),FALSE),IF(ISNUMBER(W390),AND(W390&gt;=1,W390&lt;=10,W390=INT(W390)),FALSE)),U390*V390*W390,"")</f>
        <v/>
      </c>
      <c r="Y390" s="54" t="str">
        <f>IF(X390="","",IF(OR(U390&gt;=p_gmin,X390&gt;=p_ipr_crit),"Critique",IF(X390&gt;=p_ipr_act,"Élevée",IF(X390&gt;=p_ipr_watch,"Moyenne","Faible"))))</f>
        <v/>
      </c>
      <c r="Z390" s="57" t="str">
        <f>IF(X390="","",(L390-X390)/L390)</f>
        <v/>
      </c>
      <c r="AA390" s="54" t="str">
        <f>IF(AND(D390="",O390=""),"",IF(O390="",IF(N390="Oui","Action à définir",IF(N390="Non","Sans action","")),IF(R390="Annulée","Annulée",IF(R390="Réalisée",IF(X390="","À réévaluer","Réalisée"),IF(N(Q390)=0,"Échéance manquante",IF(Q390&lt;p_today,"En retard",IF(Q390-p_today&lt;=p_alert,"Échéance proche","Dans les délais")))))))</f>
        <v/>
      </c>
      <c r="AB390" s="58" t="str">
        <f>IF(AND(A390="",B390="",D390="",F390="",H390="",K390="",O390=""),"",IF(D390="","Mode de défaillance manquant",IF(AND(A390&lt;&gt;"",COUNTIF(am_num,A390)&gt;1),"N° en double",IF(F390="","Gravité G manquante",IF(NOT(IF(ISNUMBER(F390),AND(F390&gt;=1,F390&lt;=10,F390=INT(F390)),FALSE)),"G : entier de 1 à 10",IF(H390="","Occurrence O manquante",IF(NOT(IF(ISNUMBER(H390),AND(H390&gt;=1,H390&lt;=10,H390=INT(H390)),FALSE)),"O : entier de 1 à 10",IF(K390="","Détection D manquante",IF(NOT(IF(ISNUMBER(K390),AND(K390&gt;=1,K390&lt;=10,K390=INT(K390)),FALSE)),"D : entier de 1 à 10",IF(G390="","Cause manquante",IF(AND(O390&lt;&gt;"",P390=""),"Responsable manquant",IF(AND(R390&lt;&gt;"",O390=""),"Statut sans action",IF(AND(R390="Réalisée",N(S390)=0),"Date de réalisation manquante",IF(AND(T390&lt;&gt;"",IF(ISNUMBER(T390),T390&lt;0,TRUE)),"Coût invalide",IF(AND(COUNTBLANK(U390:W390)&gt;0,COUNTBLANK(U390:W390)&lt;3),"Cotation après action incomplète",IF(AND(COUNTBLANK(U390:W390)=0,X390=""),"G', O', D' : entiers de 1 à 10",IF(AND(X390&lt;&gt;"",X390&gt;L390),"IPR après action plus élevé","OK")))))))))))))))))</f>
        <v/>
      </c>
      <c r="AC390" s="59" t="str">
        <f>IF(OR(AA390="En retard",AA390="Échéance proche",AA390="Dans les délais",AA390="Échéance manquante",AA390="Action à définir",AA390="À réévaluer"),IF(OR(plan_who="",P390=plan_who),IF(N(Q390)&gt;0,Q390,99999)*1000+ROW(),""),"")</f>
        <v/>
      </c>
      <c r="AD390" s="59" t="str">
        <f>IF(L390="","",L390*1000+1000-ROW())</f>
        <v/>
      </c>
      <c r="AE390" s="59" t="str">
        <f>IF(IF(AA390="En retard",1,IF(AA390="Action à définir",2,IF(AA390="Échéance manquante",3,IF(AA390="Échéance proche",4,IF(AA390="À réévaluer",5,0)))))=0,"",IF(AA390="En retard",1,IF(AA390="Action à définir",2,IF(AA390="Échéance manquante",3,IF(AA390="Échéance proche",4,IF(AA390="À réévaluer",5,0)))))*100000000+IF(N(Q390)&gt;0,Q390,99999)*1000+ROW())</f>
        <v/>
      </c>
      <c r="AF390" s="59" t="str">
        <f>IF(X390&lt;&gt;"",X390,L390)</f>
        <v/>
      </c>
      <c r="AG390" s="59" t="str">
        <f>IF(X390&lt;&gt;"",Y390,IF(L390&lt;&gt;"",M390,""))</f>
        <v/>
      </c>
      <c r="AH390" s="59" t="str">
        <f>IF(L390="","",IF(X390&lt;&gt;"",U390,F390))</f>
        <v/>
      </c>
      <c r="AI390" s="59" t="str">
        <f>IF(L390="","",IF(X390&lt;&gt;"",V390,H390))</f>
        <v/>
      </c>
    </row>
    <row r="391" ht="30" customHeight="1">
      <c r="A391" s="50" t="n"/>
      <c r="B391" s="51" t="n"/>
      <c r="C391" s="51" t="n"/>
      <c r="D391" s="51" t="n"/>
      <c r="E391" s="51" t="n"/>
      <c r="F391" s="52" t="n"/>
      <c r="G391" s="51" t="n"/>
      <c r="H391" s="52" t="n"/>
      <c r="I391" s="51" t="n"/>
      <c r="J391" s="51" t="n"/>
      <c r="K391" s="52" t="n"/>
      <c r="L391" s="53" t="str">
        <f>IF(AND(IF(ISNUMBER(F391),AND(F391&gt;=1,F391&lt;=10,F391=INT(F391)),FALSE),IF(ISNUMBER(H391),AND(H391&gt;=1,H391&lt;=10,H391=INT(H391)),FALSE),IF(ISNUMBER(K391),AND(K391&gt;=1,K391&lt;=10,K391=INT(K391)),FALSE)),F391*H391*K391,"")</f>
        <v/>
      </c>
      <c r="M391" s="54" t="str">
        <f>IF(L391="",IF(D391="","","À coter"),IF(OR(F391&gt;=p_gmin,L391&gt;=p_ipr_crit),"Critique",IF(L391&gt;=p_ipr_act,"Élevée",IF(L391&gt;=p_ipr_watch,"Moyenne","Faible"))))</f>
        <v/>
      </c>
      <c r="N391" s="54" t="str">
        <f>IF(OR(M391="",M391="À coter"),"",IF(OR(M391="Critique",M391="Élevée"),"Oui","Non"))</f>
        <v/>
      </c>
      <c r="O391" s="51" t="n"/>
      <c r="P391" s="51" t="n"/>
      <c r="Q391" s="55" t="n"/>
      <c r="R391" s="50" t="n"/>
      <c r="S391" s="55" t="n"/>
      <c r="T391" s="56" t="n"/>
      <c r="U391" s="52" t="n"/>
      <c r="V391" s="52" t="n"/>
      <c r="W391" s="52" t="n"/>
      <c r="X391" s="53" t="str">
        <f>IF(AND(L391&lt;&gt;"",IF(ISNUMBER(U391),AND(U391&gt;=1,U391&lt;=10,U391=INT(U391)),FALSE),IF(ISNUMBER(V391),AND(V391&gt;=1,V391&lt;=10,V391=INT(V391)),FALSE),IF(ISNUMBER(W391),AND(W391&gt;=1,W391&lt;=10,W391=INT(W391)),FALSE)),U391*V391*W391,"")</f>
        <v/>
      </c>
      <c r="Y391" s="54" t="str">
        <f>IF(X391="","",IF(OR(U391&gt;=p_gmin,X391&gt;=p_ipr_crit),"Critique",IF(X391&gt;=p_ipr_act,"Élevée",IF(X391&gt;=p_ipr_watch,"Moyenne","Faible"))))</f>
        <v/>
      </c>
      <c r="Z391" s="57" t="str">
        <f>IF(X391="","",(L391-X391)/L391)</f>
        <v/>
      </c>
      <c r="AA391" s="54" t="str">
        <f>IF(AND(D391="",O391=""),"",IF(O391="",IF(N391="Oui","Action à définir",IF(N391="Non","Sans action","")),IF(R391="Annulée","Annulée",IF(R391="Réalisée",IF(X391="","À réévaluer","Réalisée"),IF(N(Q391)=0,"Échéance manquante",IF(Q391&lt;p_today,"En retard",IF(Q391-p_today&lt;=p_alert,"Échéance proche","Dans les délais")))))))</f>
        <v/>
      </c>
      <c r="AB391" s="58" t="str">
        <f>IF(AND(A391="",B391="",D391="",F391="",H391="",K391="",O391=""),"",IF(D391="","Mode de défaillance manquant",IF(AND(A391&lt;&gt;"",COUNTIF(am_num,A391)&gt;1),"N° en double",IF(F391="","Gravité G manquante",IF(NOT(IF(ISNUMBER(F391),AND(F391&gt;=1,F391&lt;=10,F391=INT(F391)),FALSE)),"G : entier de 1 à 10",IF(H391="","Occurrence O manquante",IF(NOT(IF(ISNUMBER(H391),AND(H391&gt;=1,H391&lt;=10,H391=INT(H391)),FALSE)),"O : entier de 1 à 10",IF(K391="","Détection D manquante",IF(NOT(IF(ISNUMBER(K391),AND(K391&gt;=1,K391&lt;=10,K391=INT(K391)),FALSE)),"D : entier de 1 à 10",IF(G391="","Cause manquante",IF(AND(O391&lt;&gt;"",P391=""),"Responsable manquant",IF(AND(R391&lt;&gt;"",O391=""),"Statut sans action",IF(AND(R391="Réalisée",N(S391)=0),"Date de réalisation manquante",IF(AND(T391&lt;&gt;"",IF(ISNUMBER(T391),T391&lt;0,TRUE)),"Coût invalide",IF(AND(COUNTBLANK(U391:W391)&gt;0,COUNTBLANK(U391:W391)&lt;3),"Cotation après action incomplète",IF(AND(COUNTBLANK(U391:W391)=0,X391=""),"G', O', D' : entiers de 1 à 10",IF(AND(X391&lt;&gt;"",X391&gt;L391),"IPR après action plus élevé","OK")))))))))))))))))</f>
        <v/>
      </c>
      <c r="AC391" s="59" t="str">
        <f>IF(OR(AA391="En retard",AA391="Échéance proche",AA391="Dans les délais",AA391="Échéance manquante",AA391="Action à définir",AA391="À réévaluer"),IF(OR(plan_who="",P391=plan_who),IF(N(Q391)&gt;0,Q391,99999)*1000+ROW(),""),"")</f>
        <v/>
      </c>
      <c r="AD391" s="59" t="str">
        <f>IF(L391="","",L391*1000+1000-ROW())</f>
        <v/>
      </c>
      <c r="AE391" s="59" t="str">
        <f>IF(IF(AA391="En retard",1,IF(AA391="Action à définir",2,IF(AA391="Échéance manquante",3,IF(AA391="Échéance proche",4,IF(AA391="À réévaluer",5,0)))))=0,"",IF(AA391="En retard",1,IF(AA391="Action à définir",2,IF(AA391="Échéance manquante",3,IF(AA391="Échéance proche",4,IF(AA391="À réévaluer",5,0)))))*100000000+IF(N(Q391)&gt;0,Q391,99999)*1000+ROW())</f>
        <v/>
      </c>
      <c r="AF391" s="59" t="str">
        <f>IF(X391&lt;&gt;"",X391,L391)</f>
        <v/>
      </c>
      <c r="AG391" s="59" t="str">
        <f>IF(X391&lt;&gt;"",Y391,IF(L391&lt;&gt;"",M391,""))</f>
        <v/>
      </c>
      <c r="AH391" s="59" t="str">
        <f>IF(L391="","",IF(X391&lt;&gt;"",U391,F391))</f>
        <v/>
      </c>
      <c r="AI391" s="59" t="str">
        <f>IF(L391="","",IF(X391&lt;&gt;"",V391,H391))</f>
        <v/>
      </c>
    </row>
    <row r="392" ht="30" customHeight="1">
      <c r="A392" s="50" t="n"/>
      <c r="B392" s="51" t="n"/>
      <c r="C392" s="51" t="n"/>
      <c r="D392" s="51" t="n"/>
      <c r="E392" s="51" t="n"/>
      <c r="F392" s="52" t="n"/>
      <c r="G392" s="51" t="n"/>
      <c r="H392" s="52" t="n"/>
      <c r="I392" s="51" t="n"/>
      <c r="J392" s="51" t="n"/>
      <c r="K392" s="52" t="n"/>
      <c r="L392" s="53" t="str">
        <f>IF(AND(IF(ISNUMBER(F392),AND(F392&gt;=1,F392&lt;=10,F392=INT(F392)),FALSE),IF(ISNUMBER(H392),AND(H392&gt;=1,H392&lt;=10,H392=INT(H392)),FALSE),IF(ISNUMBER(K392),AND(K392&gt;=1,K392&lt;=10,K392=INT(K392)),FALSE)),F392*H392*K392,"")</f>
        <v/>
      </c>
      <c r="M392" s="54" t="str">
        <f>IF(L392="",IF(D392="","","À coter"),IF(OR(F392&gt;=p_gmin,L392&gt;=p_ipr_crit),"Critique",IF(L392&gt;=p_ipr_act,"Élevée",IF(L392&gt;=p_ipr_watch,"Moyenne","Faible"))))</f>
        <v/>
      </c>
      <c r="N392" s="54" t="str">
        <f>IF(OR(M392="",M392="À coter"),"",IF(OR(M392="Critique",M392="Élevée"),"Oui","Non"))</f>
        <v/>
      </c>
      <c r="O392" s="51" t="n"/>
      <c r="P392" s="51" t="n"/>
      <c r="Q392" s="55" t="n"/>
      <c r="R392" s="50" t="n"/>
      <c r="S392" s="55" t="n"/>
      <c r="T392" s="56" t="n"/>
      <c r="U392" s="52" t="n"/>
      <c r="V392" s="52" t="n"/>
      <c r="W392" s="52" t="n"/>
      <c r="X392" s="53" t="str">
        <f>IF(AND(L392&lt;&gt;"",IF(ISNUMBER(U392),AND(U392&gt;=1,U392&lt;=10,U392=INT(U392)),FALSE),IF(ISNUMBER(V392),AND(V392&gt;=1,V392&lt;=10,V392=INT(V392)),FALSE),IF(ISNUMBER(W392),AND(W392&gt;=1,W392&lt;=10,W392=INT(W392)),FALSE)),U392*V392*W392,"")</f>
        <v/>
      </c>
      <c r="Y392" s="54" t="str">
        <f>IF(X392="","",IF(OR(U392&gt;=p_gmin,X392&gt;=p_ipr_crit),"Critique",IF(X392&gt;=p_ipr_act,"Élevée",IF(X392&gt;=p_ipr_watch,"Moyenne","Faible"))))</f>
        <v/>
      </c>
      <c r="Z392" s="57" t="str">
        <f>IF(X392="","",(L392-X392)/L392)</f>
        <v/>
      </c>
      <c r="AA392" s="54" t="str">
        <f>IF(AND(D392="",O392=""),"",IF(O392="",IF(N392="Oui","Action à définir",IF(N392="Non","Sans action","")),IF(R392="Annulée","Annulée",IF(R392="Réalisée",IF(X392="","À réévaluer","Réalisée"),IF(N(Q392)=0,"Échéance manquante",IF(Q392&lt;p_today,"En retard",IF(Q392-p_today&lt;=p_alert,"Échéance proche","Dans les délais")))))))</f>
        <v/>
      </c>
      <c r="AB392" s="58" t="str">
        <f>IF(AND(A392="",B392="",D392="",F392="",H392="",K392="",O392=""),"",IF(D392="","Mode de défaillance manquant",IF(AND(A392&lt;&gt;"",COUNTIF(am_num,A392)&gt;1),"N° en double",IF(F392="","Gravité G manquante",IF(NOT(IF(ISNUMBER(F392),AND(F392&gt;=1,F392&lt;=10,F392=INT(F392)),FALSE)),"G : entier de 1 à 10",IF(H392="","Occurrence O manquante",IF(NOT(IF(ISNUMBER(H392),AND(H392&gt;=1,H392&lt;=10,H392=INT(H392)),FALSE)),"O : entier de 1 à 10",IF(K392="","Détection D manquante",IF(NOT(IF(ISNUMBER(K392),AND(K392&gt;=1,K392&lt;=10,K392=INT(K392)),FALSE)),"D : entier de 1 à 10",IF(G392="","Cause manquante",IF(AND(O392&lt;&gt;"",P392=""),"Responsable manquant",IF(AND(R392&lt;&gt;"",O392=""),"Statut sans action",IF(AND(R392="Réalisée",N(S392)=0),"Date de réalisation manquante",IF(AND(T392&lt;&gt;"",IF(ISNUMBER(T392),T392&lt;0,TRUE)),"Coût invalide",IF(AND(COUNTBLANK(U392:W392)&gt;0,COUNTBLANK(U392:W392)&lt;3),"Cotation après action incomplète",IF(AND(COUNTBLANK(U392:W392)=0,X392=""),"G', O', D' : entiers de 1 à 10",IF(AND(X392&lt;&gt;"",X392&gt;L392),"IPR après action plus élevé","OK")))))))))))))))))</f>
        <v/>
      </c>
      <c r="AC392" s="59" t="str">
        <f>IF(OR(AA392="En retard",AA392="Échéance proche",AA392="Dans les délais",AA392="Échéance manquante",AA392="Action à définir",AA392="À réévaluer"),IF(OR(plan_who="",P392=plan_who),IF(N(Q392)&gt;0,Q392,99999)*1000+ROW(),""),"")</f>
        <v/>
      </c>
      <c r="AD392" s="59" t="str">
        <f>IF(L392="","",L392*1000+1000-ROW())</f>
        <v/>
      </c>
      <c r="AE392" s="59" t="str">
        <f>IF(IF(AA392="En retard",1,IF(AA392="Action à définir",2,IF(AA392="Échéance manquante",3,IF(AA392="Échéance proche",4,IF(AA392="À réévaluer",5,0)))))=0,"",IF(AA392="En retard",1,IF(AA392="Action à définir",2,IF(AA392="Échéance manquante",3,IF(AA392="Échéance proche",4,IF(AA392="À réévaluer",5,0)))))*100000000+IF(N(Q392)&gt;0,Q392,99999)*1000+ROW())</f>
        <v/>
      </c>
      <c r="AF392" s="59" t="str">
        <f>IF(X392&lt;&gt;"",X392,L392)</f>
        <v/>
      </c>
      <c r="AG392" s="59" t="str">
        <f>IF(X392&lt;&gt;"",Y392,IF(L392&lt;&gt;"",M392,""))</f>
        <v/>
      </c>
      <c r="AH392" s="59" t="str">
        <f>IF(L392="","",IF(X392&lt;&gt;"",U392,F392))</f>
        <v/>
      </c>
      <c r="AI392" s="59" t="str">
        <f>IF(L392="","",IF(X392&lt;&gt;"",V392,H392))</f>
        <v/>
      </c>
    </row>
    <row r="393" ht="30" customHeight="1">
      <c r="A393" s="50" t="n"/>
      <c r="B393" s="51" t="n"/>
      <c r="C393" s="51" t="n"/>
      <c r="D393" s="51" t="n"/>
      <c r="E393" s="51" t="n"/>
      <c r="F393" s="52" t="n"/>
      <c r="G393" s="51" t="n"/>
      <c r="H393" s="52" t="n"/>
      <c r="I393" s="51" t="n"/>
      <c r="J393" s="51" t="n"/>
      <c r="K393" s="52" t="n"/>
      <c r="L393" s="53" t="str">
        <f>IF(AND(IF(ISNUMBER(F393),AND(F393&gt;=1,F393&lt;=10,F393=INT(F393)),FALSE),IF(ISNUMBER(H393),AND(H393&gt;=1,H393&lt;=10,H393=INT(H393)),FALSE),IF(ISNUMBER(K393),AND(K393&gt;=1,K393&lt;=10,K393=INT(K393)),FALSE)),F393*H393*K393,"")</f>
        <v/>
      </c>
      <c r="M393" s="54" t="str">
        <f>IF(L393="",IF(D393="","","À coter"),IF(OR(F393&gt;=p_gmin,L393&gt;=p_ipr_crit),"Critique",IF(L393&gt;=p_ipr_act,"Élevée",IF(L393&gt;=p_ipr_watch,"Moyenne","Faible"))))</f>
        <v/>
      </c>
      <c r="N393" s="54" t="str">
        <f>IF(OR(M393="",M393="À coter"),"",IF(OR(M393="Critique",M393="Élevée"),"Oui","Non"))</f>
        <v/>
      </c>
      <c r="O393" s="51" t="n"/>
      <c r="P393" s="51" t="n"/>
      <c r="Q393" s="55" t="n"/>
      <c r="R393" s="50" t="n"/>
      <c r="S393" s="55" t="n"/>
      <c r="T393" s="56" t="n"/>
      <c r="U393" s="52" t="n"/>
      <c r="V393" s="52" t="n"/>
      <c r="W393" s="52" t="n"/>
      <c r="X393" s="53" t="str">
        <f>IF(AND(L393&lt;&gt;"",IF(ISNUMBER(U393),AND(U393&gt;=1,U393&lt;=10,U393=INT(U393)),FALSE),IF(ISNUMBER(V393),AND(V393&gt;=1,V393&lt;=10,V393=INT(V393)),FALSE),IF(ISNUMBER(W393),AND(W393&gt;=1,W393&lt;=10,W393=INT(W393)),FALSE)),U393*V393*W393,"")</f>
        <v/>
      </c>
      <c r="Y393" s="54" t="str">
        <f>IF(X393="","",IF(OR(U393&gt;=p_gmin,X393&gt;=p_ipr_crit),"Critique",IF(X393&gt;=p_ipr_act,"Élevée",IF(X393&gt;=p_ipr_watch,"Moyenne","Faible"))))</f>
        <v/>
      </c>
      <c r="Z393" s="57" t="str">
        <f>IF(X393="","",(L393-X393)/L393)</f>
        <v/>
      </c>
      <c r="AA393" s="54" t="str">
        <f>IF(AND(D393="",O393=""),"",IF(O393="",IF(N393="Oui","Action à définir",IF(N393="Non","Sans action","")),IF(R393="Annulée","Annulée",IF(R393="Réalisée",IF(X393="","À réévaluer","Réalisée"),IF(N(Q393)=0,"Échéance manquante",IF(Q393&lt;p_today,"En retard",IF(Q393-p_today&lt;=p_alert,"Échéance proche","Dans les délais")))))))</f>
        <v/>
      </c>
      <c r="AB393" s="58" t="str">
        <f>IF(AND(A393="",B393="",D393="",F393="",H393="",K393="",O393=""),"",IF(D393="","Mode de défaillance manquant",IF(AND(A393&lt;&gt;"",COUNTIF(am_num,A393)&gt;1),"N° en double",IF(F393="","Gravité G manquante",IF(NOT(IF(ISNUMBER(F393),AND(F393&gt;=1,F393&lt;=10,F393=INT(F393)),FALSE)),"G : entier de 1 à 10",IF(H393="","Occurrence O manquante",IF(NOT(IF(ISNUMBER(H393),AND(H393&gt;=1,H393&lt;=10,H393=INT(H393)),FALSE)),"O : entier de 1 à 10",IF(K393="","Détection D manquante",IF(NOT(IF(ISNUMBER(K393),AND(K393&gt;=1,K393&lt;=10,K393=INT(K393)),FALSE)),"D : entier de 1 à 10",IF(G393="","Cause manquante",IF(AND(O393&lt;&gt;"",P393=""),"Responsable manquant",IF(AND(R393&lt;&gt;"",O393=""),"Statut sans action",IF(AND(R393="Réalisée",N(S393)=0),"Date de réalisation manquante",IF(AND(T393&lt;&gt;"",IF(ISNUMBER(T393),T393&lt;0,TRUE)),"Coût invalide",IF(AND(COUNTBLANK(U393:W393)&gt;0,COUNTBLANK(U393:W393)&lt;3),"Cotation après action incomplète",IF(AND(COUNTBLANK(U393:W393)=0,X393=""),"G', O', D' : entiers de 1 à 10",IF(AND(X393&lt;&gt;"",X393&gt;L393),"IPR après action plus élevé","OK")))))))))))))))))</f>
        <v/>
      </c>
      <c r="AC393" s="59" t="str">
        <f>IF(OR(AA393="En retard",AA393="Échéance proche",AA393="Dans les délais",AA393="Échéance manquante",AA393="Action à définir",AA393="À réévaluer"),IF(OR(plan_who="",P393=plan_who),IF(N(Q393)&gt;0,Q393,99999)*1000+ROW(),""),"")</f>
        <v/>
      </c>
      <c r="AD393" s="59" t="str">
        <f>IF(L393="","",L393*1000+1000-ROW())</f>
        <v/>
      </c>
      <c r="AE393" s="59" t="str">
        <f>IF(IF(AA393="En retard",1,IF(AA393="Action à définir",2,IF(AA393="Échéance manquante",3,IF(AA393="Échéance proche",4,IF(AA393="À réévaluer",5,0)))))=0,"",IF(AA393="En retard",1,IF(AA393="Action à définir",2,IF(AA393="Échéance manquante",3,IF(AA393="Échéance proche",4,IF(AA393="À réévaluer",5,0)))))*100000000+IF(N(Q393)&gt;0,Q393,99999)*1000+ROW())</f>
        <v/>
      </c>
      <c r="AF393" s="59" t="str">
        <f>IF(X393&lt;&gt;"",X393,L393)</f>
        <v/>
      </c>
      <c r="AG393" s="59" t="str">
        <f>IF(X393&lt;&gt;"",Y393,IF(L393&lt;&gt;"",M393,""))</f>
        <v/>
      </c>
      <c r="AH393" s="59" t="str">
        <f>IF(L393="","",IF(X393&lt;&gt;"",U393,F393))</f>
        <v/>
      </c>
      <c r="AI393" s="59" t="str">
        <f>IF(L393="","",IF(X393&lt;&gt;"",V393,H393))</f>
        <v/>
      </c>
    </row>
    <row r="394" ht="30" customHeight="1">
      <c r="A394" s="50" t="n"/>
      <c r="B394" s="51" t="n"/>
      <c r="C394" s="51" t="n"/>
      <c r="D394" s="51" t="n"/>
      <c r="E394" s="51" t="n"/>
      <c r="F394" s="52" t="n"/>
      <c r="G394" s="51" t="n"/>
      <c r="H394" s="52" t="n"/>
      <c r="I394" s="51" t="n"/>
      <c r="J394" s="51" t="n"/>
      <c r="K394" s="52" t="n"/>
      <c r="L394" s="53" t="str">
        <f>IF(AND(IF(ISNUMBER(F394),AND(F394&gt;=1,F394&lt;=10,F394=INT(F394)),FALSE),IF(ISNUMBER(H394),AND(H394&gt;=1,H394&lt;=10,H394=INT(H394)),FALSE),IF(ISNUMBER(K394),AND(K394&gt;=1,K394&lt;=10,K394=INT(K394)),FALSE)),F394*H394*K394,"")</f>
        <v/>
      </c>
      <c r="M394" s="54" t="str">
        <f>IF(L394="",IF(D394="","","À coter"),IF(OR(F394&gt;=p_gmin,L394&gt;=p_ipr_crit),"Critique",IF(L394&gt;=p_ipr_act,"Élevée",IF(L394&gt;=p_ipr_watch,"Moyenne","Faible"))))</f>
        <v/>
      </c>
      <c r="N394" s="54" t="str">
        <f>IF(OR(M394="",M394="À coter"),"",IF(OR(M394="Critique",M394="Élevée"),"Oui","Non"))</f>
        <v/>
      </c>
      <c r="O394" s="51" t="n"/>
      <c r="P394" s="51" t="n"/>
      <c r="Q394" s="55" t="n"/>
      <c r="R394" s="50" t="n"/>
      <c r="S394" s="55" t="n"/>
      <c r="T394" s="56" t="n"/>
      <c r="U394" s="52" t="n"/>
      <c r="V394" s="52" t="n"/>
      <c r="W394" s="52" t="n"/>
      <c r="X394" s="53" t="str">
        <f>IF(AND(L394&lt;&gt;"",IF(ISNUMBER(U394),AND(U394&gt;=1,U394&lt;=10,U394=INT(U394)),FALSE),IF(ISNUMBER(V394),AND(V394&gt;=1,V394&lt;=10,V394=INT(V394)),FALSE),IF(ISNUMBER(W394),AND(W394&gt;=1,W394&lt;=10,W394=INT(W394)),FALSE)),U394*V394*W394,"")</f>
        <v/>
      </c>
      <c r="Y394" s="54" t="str">
        <f>IF(X394="","",IF(OR(U394&gt;=p_gmin,X394&gt;=p_ipr_crit),"Critique",IF(X394&gt;=p_ipr_act,"Élevée",IF(X394&gt;=p_ipr_watch,"Moyenne","Faible"))))</f>
        <v/>
      </c>
      <c r="Z394" s="57" t="str">
        <f>IF(X394="","",(L394-X394)/L394)</f>
        <v/>
      </c>
      <c r="AA394" s="54" t="str">
        <f>IF(AND(D394="",O394=""),"",IF(O394="",IF(N394="Oui","Action à définir",IF(N394="Non","Sans action","")),IF(R394="Annulée","Annulée",IF(R394="Réalisée",IF(X394="","À réévaluer","Réalisée"),IF(N(Q394)=0,"Échéance manquante",IF(Q394&lt;p_today,"En retard",IF(Q394-p_today&lt;=p_alert,"Échéance proche","Dans les délais")))))))</f>
        <v/>
      </c>
      <c r="AB394" s="58" t="str">
        <f>IF(AND(A394="",B394="",D394="",F394="",H394="",K394="",O394=""),"",IF(D394="","Mode de défaillance manquant",IF(AND(A394&lt;&gt;"",COUNTIF(am_num,A394)&gt;1),"N° en double",IF(F394="","Gravité G manquante",IF(NOT(IF(ISNUMBER(F394),AND(F394&gt;=1,F394&lt;=10,F394=INT(F394)),FALSE)),"G : entier de 1 à 10",IF(H394="","Occurrence O manquante",IF(NOT(IF(ISNUMBER(H394),AND(H394&gt;=1,H394&lt;=10,H394=INT(H394)),FALSE)),"O : entier de 1 à 10",IF(K394="","Détection D manquante",IF(NOT(IF(ISNUMBER(K394),AND(K394&gt;=1,K394&lt;=10,K394=INT(K394)),FALSE)),"D : entier de 1 à 10",IF(G394="","Cause manquante",IF(AND(O394&lt;&gt;"",P394=""),"Responsable manquant",IF(AND(R394&lt;&gt;"",O394=""),"Statut sans action",IF(AND(R394="Réalisée",N(S394)=0),"Date de réalisation manquante",IF(AND(T394&lt;&gt;"",IF(ISNUMBER(T394),T394&lt;0,TRUE)),"Coût invalide",IF(AND(COUNTBLANK(U394:W394)&gt;0,COUNTBLANK(U394:W394)&lt;3),"Cotation après action incomplète",IF(AND(COUNTBLANK(U394:W394)=0,X394=""),"G', O', D' : entiers de 1 à 10",IF(AND(X394&lt;&gt;"",X394&gt;L394),"IPR après action plus élevé","OK")))))))))))))))))</f>
        <v/>
      </c>
      <c r="AC394" s="59" t="str">
        <f>IF(OR(AA394="En retard",AA394="Échéance proche",AA394="Dans les délais",AA394="Échéance manquante",AA394="Action à définir",AA394="À réévaluer"),IF(OR(plan_who="",P394=plan_who),IF(N(Q394)&gt;0,Q394,99999)*1000+ROW(),""),"")</f>
        <v/>
      </c>
      <c r="AD394" s="59" t="str">
        <f>IF(L394="","",L394*1000+1000-ROW())</f>
        <v/>
      </c>
      <c r="AE394" s="59" t="str">
        <f>IF(IF(AA394="En retard",1,IF(AA394="Action à définir",2,IF(AA394="Échéance manquante",3,IF(AA394="Échéance proche",4,IF(AA394="À réévaluer",5,0)))))=0,"",IF(AA394="En retard",1,IF(AA394="Action à définir",2,IF(AA394="Échéance manquante",3,IF(AA394="Échéance proche",4,IF(AA394="À réévaluer",5,0)))))*100000000+IF(N(Q394)&gt;0,Q394,99999)*1000+ROW())</f>
        <v/>
      </c>
      <c r="AF394" s="59" t="str">
        <f>IF(X394&lt;&gt;"",X394,L394)</f>
        <v/>
      </c>
      <c r="AG394" s="59" t="str">
        <f>IF(X394&lt;&gt;"",Y394,IF(L394&lt;&gt;"",M394,""))</f>
        <v/>
      </c>
      <c r="AH394" s="59" t="str">
        <f>IF(L394="","",IF(X394&lt;&gt;"",U394,F394))</f>
        <v/>
      </c>
      <c r="AI394" s="59" t="str">
        <f>IF(L394="","",IF(X394&lt;&gt;"",V394,H394))</f>
        <v/>
      </c>
    </row>
    <row r="395" ht="30" customHeight="1">
      <c r="A395" s="50" t="n"/>
      <c r="B395" s="51" t="n"/>
      <c r="C395" s="51" t="n"/>
      <c r="D395" s="51" t="n"/>
      <c r="E395" s="51" t="n"/>
      <c r="F395" s="52" t="n"/>
      <c r="G395" s="51" t="n"/>
      <c r="H395" s="52" t="n"/>
      <c r="I395" s="51" t="n"/>
      <c r="J395" s="51" t="n"/>
      <c r="K395" s="52" t="n"/>
      <c r="L395" s="53" t="str">
        <f>IF(AND(IF(ISNUMBER(F395),AND(F395&gt;=1,F395&lt;=10,F395=INT(F395)),FALSE),IF(ISNUMBER(H395),AND(H395&gt;=1,H395&lt;=10,H395=INT(H395)),FALSE),IF(ISNUMBER(K395),AND(K395&gt;=1,K395&lt;=10,K395=INT(K395)),FALSE)),F395*H395*K395,"")</f>
        <v/>
      </c>
      <c r="M395" s="54" t="str">
        <f>IF(L395="",IF(D395="","","À coter"),IF(OR(F395&gt;=p_gmin,L395&gt;=p_ipr_crit),"Critique",IF(L395&gt;=p_ipr_act,"Élevée",IF(L395&gt;=p_ipr_watch,"Moyenne","Faible"))))</f>
        <v/>
      </c>
      <c r="N395" s="54" t="str">
        <f>IF(OR(M395="",M395="À coter"),"",IF(OR(M395="Critique",M395="Élevée"),"Oui","Non"))</f>
        <v/>
      </c>
      <c r="O395" s="51" t="n"/>
      <c r="P395" s="51" t="n"/>
      <c r="Q395" s="55" t="n"/>
      <c r="R395" s="50" t="n"/>
      <c r="S395" s="55" t="n"/>
      <c r="T395" s="56" t="n"/>
      <c r="U395" s="52" t="n"/>
      <c r="V395" s="52" t="n"/>
      <c r="W395" s="52" t="n"/>
      <c r="X395" s="53" t="str">
        <f>IF(AND(L395&lt;&gt;"",IF(ISNUMBER(U395),AND(U395&gt;=1,U395&lt;=10,U395=INT(U395)),FALSE),IF(ISNUMBER(V395),AND(V395&gt;=1,V395&lt;=10,V395=INT(V395)),FALSE),IF(ISNUMBER(W395),AND(W395&gt;=1,W395&lt;=10,W395=INT(W395)),FALSE)),U395*V395*W395,"")</f>
        <v/>
      </c>
      <c r="Y395" s="54" t="str">
        <f>IF(X395="","",IF(OR(U395&gt;=p_gmin,X395&gt;=p_ipr_crit),"Critique",IF(X395&gt;=p_ipr_act,"Élevée",IF(X395&gt;=p_ipr_watch,"Moyenne","Faible"))))</f>
        <v/>
      </c>
      <c r="Z395" s="57" t="str">
        <f>IF(X395="","",(L395-X395)/L395)</f>
        <v/>
      </c>
      <c r="AA395" s="54" t="str">
        <f>IF(AND(D395="",O395=""),"",IF(O395="",IF(N395="Oui","Action à définir",IF(N395="Non","Sans action","")),IF(R395="Annulée","Annulée",IF(R395="Réalisée",IF(X395="","À réévaluer","Réalisée"),IF(N(Q395)=0,"Échéance manquante",IF(Q395&lt;p_today,"En retard",IF(Q395-p_today&lt;=p_alert,"Échéance proche","Dans les délais")))))))</f>
        <v/>
      </c>
      <c r="AB395" s="58" t="str">
        <f>IF(AND(A395="",B395="",D395="",F395="",H395="",K395="",O395=""),"",IF(D395="","Mode de défaillance manquant",IF(AND(A395&lt;&gt;"",COUNTIF(am_num,A395)&gt;1),"N° en double",IF(F395="","Gravité G manquante",IF(NOT(IF(ISNUMBER(F395),AND(F395&gt;=1,F395&lt;=10,F395=INT(F395)),FALSE)),"G : entier de 1 à 10",IF(H395="","Occurrence O manquante",IF(NOT(IF(ISNUMBER(H395),AND(H395&gt;=1,H395&lt;=10,H395=INT(H395)),FALSE)),"O : entier de 1 à 10",IF(K395="","Détection D manquante",IF(NOT(IF(ISNUMBER(K395),AND(K395&gt;=1,K395&lt;=10,K395=INT(K395)),FALSE)),"D : entier de 1 à 10",IF(G395="","Cause manquante",IF(AND(O395&lt;&gt;"",P395=""),"Responsable manquant",IF(AND(R395&lt;&gt;"",O395=""),"Statut sans action",IF(AND(R395="Réalisée",N(S395)=0),"Date de réalisation manquante",IF(AND(T395&lt;&gt;"",IF(ISNUMBER(T395),T395&lt;0,TRUE)),"Coût invalide",IF(AND(COUNTBLANK(U395:W395)&gt;0,COUNTBLANK(U395:W395)&lt;3),"Cotation après action incomplète",IF(AND(COUNTBLANK(U395:W395)=0,X395=""),"G', O', D' : entiers de 1 à 10",IF(AND(X395&lt;&gt;"",X395&gt;L395),"IPR après action plus élevé","OK")))))))))))))))))</f>
        <v/>
      </c>
      <c r="AC395" s="59" t="str">
        <f>IF(OR(AA395="En retard",AA395="Échéance proche",AA395="Dans les délais",AA395="Échéance manquante",AA395="Action à définir",AA395="À réévaluer"),IF(OR(plan_who="",P395=plan_who),IF(N(Q395)&gt;0,Q395,99999)*1000+ROW(),""),"")</f>
        <v/>
      </c>
      <c r="AD395" s="59" t="str">
        <f>IF(L395="","",L395*1000+1000-ROW())</f>
        <v/>
      </c>
      <c r="AE395" s="59" t="str">
        <f>IF(IF(AA395="En retard",1,IF(AA395="Action à définir",2,IF(AA395="Échéance manquante",3,IF(AA395="Échéance proche",4,IF(AA395="À réévaluer",5,0)))))=0,"",IF(AA395="En retard",1,IF(AA395="Action à définir",2,IF(AA395="Échéance manquante",3,IF(AA395="Échéance proche",4,IF(AA395="À réévaluer",5,0)))))*100000000+IF(N(Q395)&gt;0,Q395,99999)*1000+ROW())</f>
        <v/>
      </c>
      <c r="AF395" s="59" t="str">
        <f>IF(X395&lt;&gt;"",X395,L395)</f>
        <v/>
      </c>
      <c r="AG395" s="59" t="str">
        <f>IF(X395&lt;&gt;"",Y395,IF(L395&lt;&gt;"",M395,""))</f>
        <v/>
      </c>
      <c r="AH395" s="59" t="str">
        <f>IF(L395="","",IF(X395&lt;&gt;"",U395,F395))</f>
        <v/>
      </c>
      <c r="AI395" s="59" t="str">
        <f>IF(L395="","",IF(X395&lt;&gt;"",V395,H395))</f>
        <v/>
      </c>
    </row>
    <row r="396" ht="30" customHeight="1">
      <c r="A396" s="50" t="n"/>
      <c r="B396" s="51" t="n"/>
      <c r="C396" s="51" t="n"/>
      <c r="D396" s="51" t="n"/>
      <c r="E396" s="51" t="n"/>
      <c r="F396" s="52" t="n"/>
      <c r="G396" s="51" t="n"/>
      <c r="H396" s="52" t="n"/>
      <c r="I396" s="51" t="n"/>
      <c r="J396" s="51" t="n"/>
      <c r="K396" s="52" t="n"/>
      <c r="L396" s="53" t="str">
        <f>IF(AND(IF(ISNUMBER(F396),AND(F396&gt;=1,F396&lt;=10,F396=INT(F396)),FALSE),IF(ISNUMBER(H396),AND(H396&gt;=1,H396&lt;=10,H396=INT(H396)),FALSE),IF(ISNUMBER(K396),AND(K396&gt;=1,K396&lt;=10,K396=INT(K396)),FALSE)),F396*H396*K396,"")</f>
        <v/>
      </c>
      <c r="M396" s="54" t="str">
        <f>IF(L396="",IF(D396="","","À coter"),IF(OR(F396&gt;=p_gmin,L396&gt;=p_ipr_crit),"Critique",IF(L396&gt;=p_ipr_act,"Élevée",IF(L396&gt;=p_ipr_watch,"Moyenne","Faible"))))</f>
        <v/>
      </c>
      <c r="N396" s="54" t="str">
        <f>IF(OR(M396="",M396="À coter"),"",IF(OR(M396="Critique",M396="Élevée"),"Oui","Non"))</f>
        <v/>
      </c>
      <c r="O396" s="51" t="n"/>
      <c r="P396" s="51" t="n"/>
      <c r="Q396" s="55" t="n"/>
      <c r="R396" s="50" t="n"/>
      <c r="S396" s="55" t="n"/>
      <c r="T396" s="56" t="n"/>
      <c r="U396" s="52" t="n"/>
      <c r="V396" s="52" t="n"/>
      <c r="W396" s="52" t="n"/>
      <c r="X396" s="53" t="str">
        <f>IF(AND(L396&lt;&gt;"",IF(ISNUMBER(U396),AND(U396&gt;=1,U396&lt;=10,U396=INT(U396)),FALSE),IF(ISNUMBER(V396),AND(V396&gt;=1,V396&lt;=10,V396=INT(V396)),FALSE),IF(ISNUMBER(W396),AND(W396&gt;=1,W396&lt;=10,W396=INT(W396)),FALSE)),U396*V396*W396,"")</f>
        <v/>
      </c>
      <c r="Y396" s="54" t="str">
        <f>IF(X396="","",IF(OR(U396&gt;=p_gmin,X396&gt;=p_ipr_crit),"Critique",IF(X396&gt;=p_ipr_act,"Élevée",IF(X396&gt;=p_ipr_watch,"Moyenne","Faible"))))</f>
        <v/>
      </c>
      <c r="Z396" s="57" t="str">
        <f>IF(X396="","",(L396-X396)/L396)</f>
        <v/>
      </c>
      <c r="AA396" s="54" t="str">
        <f>IF(AND(D396="",O396=""),"",IF(O396="",IF(N396="Oui","Action à définir",IF(N396="Non","Sans action","")),IF(R396="Annulée","Annulée",IF(R396="Réalisée",IF(X396="","À réévaluer","Réalisée"),IF(N(Q396)=0,"Échéance manquante",IF(Q396&lt;p_today,"En retard",IF(Q396-p_today&lt;=p_alert,"Échéance proche","Dans les délais")))))))</f>
        <v/>
      </c>
      <c r="AB396" s="58" t="str">
        <f>IF(AND(A396="",B396="",D396="",F396="",H396="",K396="",O396=""),"",IF(D396="","Mode de défaillance manquant",IF(AND(A396&lt;&gt;"",COUNTIF(am_num,A396)&gt;1),"N° en double",IF(F396="","Gravité G manquante",IF(NOT(IF(ISNUMBER(F396),AND(F396&gt;=1,F396&lt;=10,F396=INT(F396)),FALSE)),"G : entier de 1 à 10",IF(H396="","Occurrence O manquante",IF(NOT(IF(ISNUMBER(H396),AND(H396&gt;=1,H396&lt;=10,H396=INT(H396)),FALSE)),"O : entier de 1 à 10",IF(K396="","Détection D manquante",IF(NOT(IF(ISNUMBER(K396),AND(K396&gt;=1,K396&lt;=10,K396=INT(K396)),FALSE)),"D : entier de 1 à 10",IF(G396="","Cause manquante",IF(AND(O396&lt;&gt;"",P396=""),"Responsable manquant",IF(AND(R396&lt;&gt;"",O396=""),"Statut sans action",IF(AND(R396="Réalisée",N(S396)=0),"Date de réalisation manquante",IF(AND(T396&lt;&gt;"",IF(ISNUMBER(T396),T396&lt;0,TRUE)),"Coût invalide",IF(AND(COUNTBLANK(U396:W396)&gt;0,COUNTBLANK(U396:W396)&lt;3),"Cotation après action incomplète",IF(AND(COUNTBLANK(U396:W396)=0,X396=""),"G', O', D' : entiers de 1 à 10",IF(AND(X396&lt;&gt;"",X396&gt;L396),"IPR après action plus élevé","OK")))))))))))))))))</f>
        <v/>
      </c>
      <c r="AC396" s="59" t="str">
        <f>IF(OR(AA396="En retard",AA396="Échéance proche",AA396="Dans les délais",AA396="Échéance manquante",AA396="Action à définir",AA396="À réévaluer"),IF(OR(plan_who="",P396=plan_who),IF(N(Q396)&gt;0,Q396,99999)*1000+ROW(),""),"")</f>
        <v/>
      </c>
      <c r="AD396" s="59" t="str">
        <f>IF(L396="","",L396*1000+1000-ROW())</f>
        <v/>
      </c>
      <c r="AE396" s="59" t="str">
        <f>IF(IF(AA396="En retard",1,IF(AA396="Action à définir",2,IF(AA396="Échéance manquante",3,IF(AA396="Échéance proche",4,IF(AA396="À réévaluer",5,0)))))=0,"",IF(AA396="En retard",1,IF(AA396="Action à définir",2,IF(AA396="Échéance manquante",3,IF(AA396="Échéance proche",4,IF(AA396="À réévaluer",5,0)))))*100000000+IF(N(Q396)&gt;0,Q396,99999)*1000+ROW())</f>
        <v/>
      </c>
      <c r="AF396" s="59" t="str">
        <f>IF(X396&lt;&gt;"",X396,L396)</f>
        <v/>
      </c>
      <c r="AG396" s="59" t="str">
        <f>IF(X396&lt;&gt;"",Y396,IF(L396&lt;&gt;"",M396,""))</f>
        <v/>
      </c>
      <c r="AH396" s="59" t="str">
        <f>IF(L396="","",IF(X396&lt;&gt;"",U396,F396))</f>
        <v/>
      </c>
      <c r="AI396" s="59" t="str">
        <f>IF(L396="","",IF(X396&lt;&gt;"",V396,H396))</f>
        <v/>
      </c>
    </row>
    <row r="397" ht="30" customHeight="1">
      <c r="A397" s="50" t="n"/>
      <c r="B397" s="51" t="n"/>
      <c r="C397" s="51" t="n"/>
      <c r="D397" s="51" t="n"/>
      <c r="E397" s="51" t="n"/>
      <c r="F397" s="52" t="n"/>
      <c r="G397" s="51" t="n"/>
      <c r="H397" s="52" t="n"/>
      <c r="I397" s="51" t="n"/>
      <c r="J397" s="51" t="n"/>
      <c r="K397" s="52" t="n"/>
      <c r="L397" s="53" t="str">
        <f>IF(AND(IF(ISNUMBER(F397),AND(F397&gt;=1,F397&lt;=10,F397=INT(F397)),FALSE),IF(ISNUMBER(H397),AND(H397&gt;=1,H397&lt;=10,H397=INT(H397)),FALSE),IF(ISNUMBER(K397),AND(K397&gt;=1,K397&lt;=10,K397=INT(K397)),FALSE)),F397*H397*K397,"")</f>
        <v/>
      </c>
      <c r="M397" s="54" t="str">
        <f>IF(L397="",IF(D397="","","À coter"),IF(OR(F397&gt;=p_gmin,L397&gt;=p_ipr_crit),"Critique",IF(L397&gt;=p_ipr_act,"Élevée",IF(L397&gt;=p_ipr_watch,"Moyenne","Faible"))))</f>
        <v/>
      </c>
      <c r="N397" s="54" t="str">
        <f>IF(OR(M397="",M397="À coter"),"",IF(OR(M397="Critique",M397="Élevée"),"Oui","Non"))</f>
        <v/>
      </c>
      <c r="O397" s="51" t="n"/>
      <c r="P397" s="51" t="n"/>
      <c r="Q397" s="55" t="n"/>
      <c r="R397" s="50" t="n"/>
      <c r="S397" s="55" t="n"/>
      <c r="T397" s="56" t="n"/>
      <c r="U397" s="52" t="n"/>
      <c r="V397" s="52" t="n"/>
      <c r="W397" s="52" t="n"/>
      <c r="X397" s="53" t="str">
        <f>IF(AND(L397&lt;&gt;"",IF(ISNUMBER(U397),AND(U397&gt;=1,U397&lt;=10,U397=INT(U397)),FALSE),IF(ISNUMBER(V397),AND(V397&gt;=1,V397&lt;=10,V397=INT(V397)),FALSE),IF(ISNUMBER(W397),AND(W397&gt;=1,W397&lt;=10,W397=INT(W397)),FALSE)),U397*V397*W397,"")</f>
        <v/>
      </c>
      <c r="Y397" s="54" t="str">
        <f>IF(X397="","",IF(OR(U397&gt;=p_gmin,X397&gt;=p_ipr_crit),"Critique",IF(X397&gt;=p_ipr_act,"Élevée",IF(X397&gt;=p_ipr_watch,"Moyenne","Faible"))))</f>
        <v/>
      </c>
      <c r="Z397" s="57" t="str">
        <f>IF(X397="","",(L397-X397)/L397)</f>
        <v/>
      </c>
      <c r="AA397" s="54" t="str">
        <f>IF(AND(D397="",O397=""),"",IF(O397="",IF(N397="Oui","Action à définir",IF(N397="Non","Sans action","")),IF(R397="Annulée","Annulée",IF(R397="Réalisée",IF(X397="","À réévaluer","Réalisée"),IF(N(Q397)=0,"Échéance manquante",IF(Q397&lt;p_today,"En retard",IF(Q397-p_today&lt;=p_alert,"Échéance proche","Dans les délais")))))))</f>
        <v/>
      </c>
      <c r="AB397" s="58" t="str">
        <f>IF(AND(A397="",B397="",D397="",F397="",H397="",K397="",O397=""),"",IF(D397="","Mode de défaillance manquant",IF(AND(A397&lt;&gt;"",COUNTIF(am_num,A397)&gt;1),"N° en double",IF(F397="","Gravité G manquante",IF(NOT(IF(ISNUMBER(F397),AND(F397&gt;=1,F397&lt;=10,F397=INT(F397)),FALSE)),"G : entier de 1 à 10",IF(H397="","Occurrence O manquante",IF(NOT(IF(ISNUMBER(H397),AND(H397&gt;=1,H397&lt;=10,H397=INT(H397)),FALSE)),"O : entier de 1 à 10",IF(K397="","Détection D manquante",IF(NOT(IF(ISNUMBER(K397),AND(K397&gt;=1,K397&lt;=10,K397=INT(K397)),FALSE)),"D : entier de 1 à 10",IF(G397="","Cause manquante",IF(AND(O397&lt;&gt;"",P397=""),"Responsable manquant",IF(AND(R397&lt;&gt;"",O397=""),"Statut sans action",IF(AND(R397="Réalisée",N(S397)=0),"Date de réalisation manquante",IF(AND(T397&lt;&gt;"",IF(ISNUMBER(T397),T397&lt;0,TRUE)),"Coût invalide",IF(AND(COUNTBLANK(U397:W397)&gt;0,COUNTBLANK(U397:W397)&lt;3),"Cotation après action incomplète",IF(AND(COUNTBLANK(U397:W397)=0,X397=""),"G', O', D' : entiers de 1 à 10",IF(AND(X397&lt;&gt;"",X397&gt;L397),"IPR après action plus élevé","OK")))))))))))))))))</f>
        <v/>
      </c>
      <c r="AC397" s="59" t="str">
        <f>IF(OR(AA397="En retard",AA397="Échéance proche",AA397="Dans les délais",AA397="Échéance manquante",AA397="Action à définir",AA397="À réévaluer"),IF(OR(plan_who="",P397=plan_who),IF(N(Q397)&gt;0,Q397,99999)*1000+ROW(),""),"")</f>
        <v/>
      </c>
      <c r="AD397" s="59" t="str">
        <f>IF(L397="","",L397*1000+1000-ROW())</f>
        <v/>
      </c>
      <c r="AE397" s="59" t="str">
        <f>IF(IF(AA397="En retard",1,IF(AA397="Action à définir",2,IF(AA397="Échéance manquante",3,IF(AA397="Échéance proche",4,IF(AA397="À réévaluer",5,0)))))=0,"",IF(AA397="En retard",1,IF(AA397="Action à définir",2,IF(AA397="Échéance manquante",3,IF(AA397="Échéance proche",4,IF(AA397="À réévaluer",5,0)))))*100000000+IF(N(Q397)&gt;0,Q397,99999)*1000+ROW())</f>
        <v/>
      </c>
      <c r="AF397" s="59" t="str">
        <f>IF(X397&lt;&gt;"",X397,L397)</f>
        <v/>
      </c>
      <c r="AG397" s="59" t="str">
        <f>IF(X397&lt;&gt;"",Y397,IF(L397&lt;&gt;"",M397,""))</f>
        <v/>
      </c>
      <c r="AH397" s="59" t="str">
        <f>IF(L397="","",IF(X397&lt;&gt;"",U397,F397))</f>
        <v/>
      </c>
      <c r="AI397" s="59" t="str">
        <f>IF(L397="","",IF(X397&lt;&gt;"",V397,H397))</f>
        <v/>
      </c>
    </row>
    <row r="398" ht="30" customHeight="1">
      <c r="A398" s="50" t="n"/>
      <c r="B398" s="51" t="n"/>
      <c r="C398" s="51" t="n"/>
      <c r="D398" s="51" t="n"/>
      <c r="E398" s="51" t="n"/>
      <c r="F398" s="52" t="n"/>
      <c r="G398" s="51" t="n"/>
      <c r="H398" s="52" t="n"/>
      <c r="I398" s="51" t="n"/>
      <c r="J398" s="51" t="n"/>
      <c r="K398" s="52" t="n"/>
      <c r="L398" s="53" t="str">
        <f>IF(AND(IF(ISNUMBER(F398),AND(F398&gt;=1,F398&lt;=10,F398=INT(F398)),FALSE),IF(ISNUMBER(H398),AND(H398&gt;=1,H398&lt;=10,H398=INT(H398)),FALSE),IF(ISNUMBER(K398),AND(K398&gt;=1,K398&lt;=10,K398=INT(K398)),FALSE)),F398*H398*K398,"")</f>
        <v/>
      </c>
      <c r="M398" s="54" t="str">
        <f>IF(L398="",IF(D398="","","À coter"),IF(OR(F398&gt;=p_gmin,L398&gt;=p_ipr_crit),"Critique",IF(L398&gt;=p_ipr_act,"Élevée",IF(L398&gt;=p_ipr_watch,"Moyenne","Faible"))))</f>
        <v/>
      </c>
      <c r="N398" s="54" t="str">
        <f>IF(OR(M398="",M398="À coter"),"",IF(OR(M398="Critique",M398="Élevée"),"Oui","Non"))</f>
        <v/>
      </c>
      <c r="O398" s="51" t="n"/>
      <c r="P398" s="51" t="n"/>
      <c r="Q398" s="55" t="n"/>
      <c r="R398" s="50" t="n"/>
      <c r="S398" s="55" t="n"/>
      <c r="T398" s="56" t="n"/>
      <c r="U398" s="52" t="n"/>
      <c r="V398" s="52" t="n"/>
      <c r="W398" s="52" t="n"/>
      <c r="X398" s="53" t="str">
        <f>IF(AND(L398&lt;&gt;"",IF(ISNUMBER(U398),AND(U398&gt;=1,U398&lt;=10,U398=INT(U398)),FALSE),IF(ISNUMBER(V398),AND(V398&gt;=1,V398&lt;=10,V398=INT(V398)),FALSE),IF(ISNUMBER(W398),AND(W398&gt;=1,W398&lt;=10,W398=INT(W398)),FALSE)),U398*V398*W398,"")</f>
        <v/>
      </c>
      <c r="Y398" s="54" t="str">
        <f>IF(X398="","",IF(OR(U398&gt;=p_gmin,X398&gt;=p_ipr_crit),"Critique",IF(X398&gt;=p_ipr_act,"Élevée",IF(X398&gt;=p_ipr_watch,"Moyenne","Faible"))))</f>
        <v/>
      </c>
      <c r="Z398" s="57" t="str">
        <f>IF(X398="","",(L398-X398)/L398)</f>
        <v/>
      </c>
      <c r="AA398" s="54" t="str">
        <f>IF(AND(D398="",O398=""),"",IF(O398="",IF(N398="Oui","Action à définir",IF(N398="Non","Sans action","")),IF(R398="Annulée","Annulée",IF(R398="Réalisée",IF(X398="","À réévaluer","Réalisée"),IF(N(Q398)=0,"Échéance manquante",IF(Q398&lt;p_today,"En retard",IF(Q398-p_today&lt;=p_alert,"Échéance proche","Dans les délais")))))))</f>
        <v/>
      </c>
      <c r="AB398" s="58" t="str">
        <f>IF(AND(A398="",B398="",D398="",F398="",H398="",K398="",O398=""),"",IF(D398="","Mode de défaillance manquant",IF(AND(A398&lt;&gt;"",COUNTIF(am_num,A398)&gt;1),"N° en double",IF(F398="","Gravité G manquante",IF(NOT(IF(ISNUMBER(F398),AND(F398&gt;=1,F398&lt;=10,F398=INT(F398)),FALSE)),"G : entier de 1 à 10",IF(H398="","Occurrence O manquante",IF(NOT(IF(ISNUMBER(H398),AND(H398&gt;=1,H398&lt;=10,H398=INT(H398)),FALSE)),"O : entier de 1 à 10",IF(K398="","Détection D manquante",IF(NOT(IF(ISNUMBER(K398),AND(K398&gt;=1,K398&lt;=10,K398=INT(K398)),FALSE)),"D : entier de 1 à 10",IF(G398="","Cause manquante",IF(AND(O398&lt;&gt;"",P398=""),"Responsable manquant",IF(AND(R398&lt;&gt;"",O398=""),"Statut sans action",IF(AND(R398="Réalisée",N(S398)=0),"Date de réalisation manquante",IF(AND(T398&lt;&gt;"",IF(ISNUMBER(T398),T398&lt;0,TRUE)),"Coût invalide",IF(AND(COUNTBLANK(U398:W398)&gt;0,COUNTBLANK(U398:W398)&lt;3),"Cotation après action incomplète",IF(AND(COUNTBLANK(U398:W398)=0,X398=""),"G', O', D' : entiers de 1 à 10",IF(AND(X398&lt;&gt;"",X398&gt;L398),"IPR après action plus élevé","OK")))))))))))))))))</f>
        <v/>
      </c>
      <c r="AC398" s="59" t="str">
        <f>IF(OR(AA398="En retard",AA398="Échéance proche",AA398="Dans les délais",AA398="Échéance manquante",AA398="Action à définir",AA398="À réévaluer"),IF(OR(plan_who="",P398=plan_who),IF(N(Q398)&gt;0,Q398,99999)*1000+ROW(),""),"")</f>
        <v/>
      </c>
      <c r="AD398" s="59" t="str">
        <f>IF(L398="","",L398*1000+1000-ROW())</f>
        <v/>
      </c>
      <c r="AE398" s="59" t="str">
        <f>IF(IF(AA398="En retard",1,IF(AA398="Action à définir",2,IF(AA398="Échéance manquante",3,IF(AA398="Échéance proche",4,IF(AA398="À réévaluer",5,0)))))=0,"",IF(AA398="En retard",1,IF(AA398="Action à définir",2,IF(AA398="Échéance manquante",3,IF(AA398="Échéance proche",4,IF(AA398="À réévaluer",5,0)))))*100000000+IF(N(Q398)&gt;0,Q398,99999)*1000+ROW())</f>
        <v/>
      </c>
      <c r="AF398" s="59" t="str">
        <f>IF(X398&lt;&gt;"",X398,L398)</f>
        <v/>
      </c>
      <c r="AG398" s="59" t="str">
        <f>IF(X398&lt;&gt;"",Y398,IF(L398&lt;&gt;"",M398,""))</f>
        <v/>
      </c>
      <c r="AH398" s="59" t="str">
        <f>IF(L398="","",IF(X398&lt;&gt;"",U398,F398))</f>
        <v/>
      </c>
      <c r="AI398" s="59" t="str">
        <f>IF(L398="","",IF(X398&lt;&gt;"",V398,H398))</f>
        <v/>
      </c>
    </row>
    <row r="399" ht="30" customHeight="1">
      <c r="A399" s="50" t="n"/>
      <c r="B399" s="51" t="n"/>
      <c r="C399" s="51" t="n"/>
      <c r="D399" s="51" t="n"/>
      <c r="E399" s="51" t="n"/>
      <c r="F399" s="52" t="n"/>
      <c r="G399" s="51" t="n"/>
      <c r="H399" s="52" t="n"/>
      <c r="I399" s="51" t="n"/>
      <c r="J399" s="51" t="n"/>
      <c r="K399" s="52" t="n"/>
      <c r="L399" s="53" t="str">
        <f>IF(AND(IF(ISNUMBER(F399),AND(F399&gt;=1,F399&lt;=10,F399=INT(F399)),FALSE),IF(ISNUMBER(H399),AND(H399&gt;=1,H399&lt;=10,H399=INT(H399)),FALSE),IF(ISNUMBER(K399),AND(K399&gt;=1,K399&lt;=10,K399=INT(K399)),FALSE)),F399*H399*K399,"")</f>
        <v/>
      </c>
      <c r="M399" s="54" t="str">
        <f>IF(L399="",IF(D399="","","À coter"),IF(OR(F399&gt;=p_gmin,L399&gt;=p_ipr_crit),"Critique",IF(L399&gt;=p_ipr_act,"Élevée",IF(L399&gt;=p_ipr_watch,"Moyenne","Faible"))))</f>
        <v/>
      </c>
      <c r="N399" s="54" t="str">
        <f>IF(OR(M399="",M399="À coter"),"",IF(OR(M399="Critique",M399="Élevée"),"Oui","Non"))</f>
        <v/>
      </c>
      <c r="O399" s="51" t="n"/>
      <c r="P399" s="51" t="n"/>
      <c r="Q399" s="55" t="n"/>
      <c r="R399" s="50" t="n"/>
      <c r="S399" s="55" t="n"/>
      <c r="T399" s="56" t="n"/>
      <c r="U399" s="52" t="n"/>
      <c r="V399" s="52" t="n"/>
      <c r="W399" s="52" t="n"/>
      <c r="X399" s="53" t="str">
        <f>IF(AND(L399&lt;&gt;"",IF(ISNUMBER(U399),AND(U399&gt;=1,U399&lt;=10,U399=INT(U399)),FALSE),IF(ISNUMBER(V399),AND(V399&gt;=1,V399&lt;=10,V399=INT(V399)),FALSE),IF(ISNUMBER(W399),AND(W399&gt;=1,W399&lt;=10,W399=INT(W399)),FALSE)),U399*V399*W399,"")</f>
        <v/>
      </c>
      <c r="Y399" s="54" t="str">
        <f>IF(X399="","",IF(OR(U399&gt;=p_gmin,X399&gt;=p_ipr_crit),"Critique",IF(X399&gt;=p_ipr_act,"Élevée",IF(X399&gt;=p_ipr_watch,"Moyenne","Faible"))))</f>
        <v/>
      </c>
      <c r="Z399" s="57" t="str">
        <f>IF(X399="","",(L399-X399)/L399)</f>
        <v/>
      </c>
      <c r="AA399" s="54" t="str">
        <f>IF(AND(D399="",O399=""),"",IF(O399="",IF(N399="Oui","Action à définir",IF(N399="Non","Sans action","")),IF(R399="Annulée","Annulée",IF(R399="Réalisée",IF(X399="","À réévaluer","Réalisée"),IF(N(Q399)=0,"Échéance manquante",IF(Q399&lt;p_today,"En retard",IF(Q399-p_today&lt;=p_alert,"Échéance proche","Dans les délais")))))))</f>
        <v/>
      </c>
      <c r="AB399" s="58" t="str">
        <f>IF(AND(A399="",B399="",D399="",F399="",H399="",K399="",O399=""),"",IF(D399="","Mode de défaillance manquant",IF(AND(A399&lt;&gt;"",COUNTIF(am_num,A399)&gt;1),"N° en double",IF(F399="","Gravité G manquante",IF(NOT(IF(ISNUMBER(F399),AND(F399&gt;=1,F399&lt;=10,F399=INT(F399)),FALSE)),"G : entier de 1 à 10",IF(H399="","Occurrence O manquante",IF(NOT(IF(ISNUMBER(H399),AND(H399&gt;=1,H399&lt;=10,H399=INT(H399)),FALSE)),"O : entier de 1 à 10",IF(K399="","Détection D manquante",IF(NOT(IF(ISNUMBER(K399),AND(K399&gt;=1,K399&lt;=10,K399=INT(K399)),FALSE)),"D : entier de 1 à 10",IF(G399="","Cause manquante",IF(AND(O399&lt;&gt;"",P399=""),"Responsable manquant",IF(AND(R399&lt;&gt;"",O399=""),"Statut sans action",IF(AND(R399="Réalisée",N(S399)=0),"Date de réalisation manquante",IF(AND(T399&lt;&gt;"",IF(ISNUMBER(T399),T399&lt;0,TRUE)),"Coût invalide",IF(AND(COUNTBLANK(U399:W399)&gt;0,COUNTBLANK(U399:W399)&lt;3),"Cotation après action incomplète",IF(AND(COUNTBLANK(U399:W399)=0,X399=""),"G', O', D' : entiers de 1 à 10",IF(AND(X399&lt;&gt;"",X399&gt;L399),"IPR après action plus élevé","OK")))))))))))))))))</f>
        <v/>
      </c>
      <c r="AC399" s="59" t="str">
        <f>IF(OR(AA399="En retard",AA399="Échéance proche",AA399="Dans les délais",AA399="Échéance manquante",AA399="Action à définir",AA399="À réévaluer"),IF(OR(plan_who="",P399=plan_who),IF(N(Q399)&gt;0,Q399,99999)*1000+ROW(),""),"")</f>
        <v/>
      </c>
      <c r="AD399" s="59" t="str">
        <f>IF(L399="","",L399*1000+1000-ROW())</f>
        <v/>
      </c>
      <c r="AE399" s="59" t="str">
        <f>IF(IF(AA399="En retard",1,IF(AA399="Action à définir",2,IF(AA399="Échéance manquante",3,IF(AA399="Échéance proche",4,IF(AA399="À réévaluer",5,0)))))=0,"",IF(AA399="En retard",1,IF(AA399="Action à définir",2,IF(AA399="Échéance manquante",3,IF(AA399="Échéance proche",4,IF(AA399="À réévaluer",5,0)))))*100000000+IF(N(Q399)&gt;0,Q399,99999)*1000+ROW())</f>
        <v/>
      </c>
      <c r="AF399" s="59" t="str">
        <f>IF(X399&lt;&gt;"",X399,L399)</f>
        <v/>
      </c>
      <c r="AG399" s="59" t="str">
        <f>IF(X399&lt;&gt;"",Y399,IF(L399&lt;&gt;"",M399,""))</f>
        <v/>
      </c>
      <c r="AH399" s="59" t="str">
        <f>IF(L399="","",IF(X399&lt;&gt;"",U399,F399))</f>
        <v/>
      </c>
      <c r="AI399" s="59" t="str">
        <f>IF(L399="","",IF(X399&lt;&gt;"",V399,H399))</f>
        <v/>
      </c>
    </row>
    <row r="400" ht="30" customHeight="1">
      <c r="A400" s="50" t="n"/>
      <c r="B400" s="51" t="n"/>
      <c r="C400" s="51" t="n"/>
      <c r="D400" s="51" t="n"/>
      <c r="E400" s="51" t="n"/>
      <c r="F400" s="52" t="n"/>
      <c r="G400" s="51" t="n"/>
      <c r="H400" s="52" t="n"/>
      <c r="I400" s="51" t="n"/>
      <c r="J400" s="51" t="n"/>
      <c r="K400" s="52" t="n"/>
      <c r="L400" s="53" t="str">
        <f>IF(AND(IF(ISNUMBER(F400),AND(F400&gt;=1,F400&lt;=10,F400=INT(F400)),FALSE),IF(ISNUMBER(H400),AND(H400&gt;=1,H400&lt;=10,H400=INT(H400)),FALSE),IF(ISNUMBER(K400),AND(K400&gt;=1,K400&lt;=10,K400=INT(K400)),FALSE)),F400*H400*K400,"")</f>
        <v/>
      </c>
      <c r="M400" s="54" t="str">
        <f>IF(L400="",IF(D400="","","À coter"),IF(OR(F400&gt;=p_gmin,L400&gt;=p_ipr_crit),"Critique",IF(L400&gt;=p_ipr_act,"Élevée",IF(L400&gt;=p_ipr_watch,"Moyenne","Faible"))))</f>
        <v/>
      </c>
      <c r="N400" s="54" t="str">
        <f>IF(OR(M400="",M400="À coter"),"",IF(OR(M400="Critique",M400="Élevée"),"Oui","Non"))</f>
        <v/>
      </c>
      <c r="O400" s="51" t="n"/>
      <c r="P400" s="51" t="n"/>
      <c r="Q400" s="55" t="n"/>
      <c r="R400" s="50" t="n"/>
      <c r="S400" s="55" t="n"/>
      <c r="T400" s="56" t="n"/>
      <c r="U400" s="52" t="n"/>
      <c r="V400" s="52" t="n"/>
      <c r="W400" s="52" t="n"/>
      <c r="X400" s="53" t="str">
        <f>IF(AND(L400&lt;&gt;"",IF(ISNUMBER(U400),AND(U400&gt;=1,U400&lt;=10,U400=INT(U400)),FALSE),IF(ISNUMBER(V400),AND(V400&gt;=1,V400&lt;=10,V400=INT(V400)),FALSE),IF(ISNUMBER(W400),AND(W400&gt;=1,W400&lt;=10,W400=INT(W400)),FALSE)),U400*V400*W400,"")</f>
        <v/>
      </c>
      <c r="Y400" s="54" t="str">
        <f>IF(X400="","",IF(OR(U400&gt;=p_gmin,X400&gt;=p_ipr_crit),"Critique",IF(X400&gt;=p_ipr_act,"Élevée",IF(X400&gt;=p_ipr_watch,"Moyenne","Faible"))))</f>
        <v/>
      </c>
      <c r="Z400" s="57" t="str">
        <f>IF(X400="","",(L400-X400)/L400)</f>
        <v/>
      </c>
      <c r="AA400" s="54" t="str">
        <f>IF(AND(D400="",O400=""),"",IF(O400="",IF(N400="Oui","Action à définir",IF(N400="Non","Sans action","")),IF(R400="Annulée","Annulée",IF(R400="Réalisée",IF(X400="","À réévaluer","Réalisée"),IF(N(Q400)=0,"Échéance manquante",IF(Q400&lt;p_today,"En retard",IF(Q400-p_today&lt;=p_alert,"Échéance proche","Dans les délais")))))))</f>
        <v/>
      </c>
      <c r="AB400" s="58" t="str">
        <f>IF(AND(A400="",B400="",D400="",F400="",H400="",K400="",O400=""),"",IF(D400="","Mode de défaillance manquant",IF(AND(A400&lt;&gt;"",COUNTIF(am_num,A400)&gt;1),"N° en double",IF(F400="","Gravité G manquante",IF(NOT(IF(ISNUMBER(F400),AND(F400&gt;=1,F400&lt;=10,F400=INT(F400)),FALSE)),"G : entier de 1 à 10",IF(H400="","Occurrence O manquante",IF(NOT(IF(ISNUMBER(H400),AND(H400&gt;=1,H400&lt;=10,H400=INT(H400)),FALSE)),"O : entier de 1 à 10",IF(K400="","Détection D manquante",IF(NOT(IF(ISNUMBER(K400),AND(K400&gt;=1,K400&lt;=10,K400=INT(K400)),FALSE)),"D : entier de 1 à 10",IF(G400="","Cause manquante",IF(AND(O400&lt;&gt;"",P400=""),"Responsable manquant",IF(AND(R400&lt;&gt;"",O400=""),"Statut sans action",IF(AND(R400="Réalisée",N(S400)=0),"Date de réalisation manquante",IF(AND(T400&lt;&gt;"",IF(ISNUMBER(T400),T400&lt;0,TRUE)),"Coût invalide",IF(AND(COUNTBLANK(U400:W400)&gt;0,COUNTBLANK(U400:W400)&lt;3),"Cotation après action incomplète",IF(AND(COUNTBLANK(U400:W400)=0,X400=""),"G', O', D' : entiers de 1 à 10",IF(AND(X400&lt;&gt;"",X400&gt;L400),"IPR après action plus élevé","OK")))))))))))))))))</f>
        <v/>
      </c>
      <c r="AC400" s="59" t="str">
        <f>IF(OR(AA400="En retard",AA400="Échéance proche",AA400="Dans les délais",AA400="Échéance manquante",AA400="Action à définir",AA400="À réévaluer"),IF(OR(plan_who="",P400=plan_who),IF(N(Q400)&gt;0,Q400,99999)*1000+ROW(),""),"")</f>
        <v/>
      </c>
      <c r="AD400" s="59" t="str">
        <f>IF(L400="","",L400*1000+1000-ROW())</f>
        <v/>
      </c>
      <c r="AE400" s="59" t="str">
        <f>IF(IF(AA400="En retard",1,IF(AA400="Action à définir",2,IF(AA400="Échéance manquante",3,IF(AA400="Échéance proche",4,IF(AA400="À réévaluer",5,0)))))=0,"",IF(AA400="En retard",1,IF(AA400="Action à définir",2,IF(AA400="Échéance manquante",3,IF(AA400="Échéance proche",4,IF(AA400="À réévaluer",5,0)))))*100000000+IF(N(Q400)&gt;0,Q400,99999)*1000+ROW())</f>
        <v/>
      </c>
      <c r="AF400" s="59" t="str">
        <f>IF(X400&lt;&gt;"",X400,L400)</f>
        <v/>
      </c>
      <c r="AG400" s="59" t="str">
        <f>IF(X400&lt;&gt;"",Y400,IF(L400&lt;&gt;"",M400,""))</f>
        <v/>
      </c>
      <c r="AH400" s="59" t="str">
        <f>IF(L400="","",IF(X400&lt;&gt;"",U400,F400))</f>
        <v/>
      </c>
      <c r="AI400" s="59" t="str">
        <f>IF(L400="","",IF(X400&lt;&gt;"",V400,H400))</f>
        <v/>
      </c>
    </row>
    <row r="401" ht="30" customHeight="1">
      <c r="A401" s="50" t="n"/>
      <c r="B401" s="51" t="n"/>
      <c r="C401" s="51" t="n"/>
      <c r="D401" s="51" t="n"/>
      <c r="E401" s="51" t="n"/>
      <c r="F401" s="52" t="n"/>
      <c r="G401" s="51" t="n"/>
      <c r="H401" s="52" t="n"/>
      <c r="I401" s="51" t="n"/>
      <c r="J401" s="51" t="n"/>
      <c r="K401" s="52" t="n"/>
      <c r="L401" s="53" t="str">
        <f>IF(AND(IF(ISNUMBER(F401),AND(F401&gt;=1,F401&lt;=10,F401=INT(F401)),FALSE),IF(ISNUMBER(H401),AND(H401&gt;=1,H401&lt;=10,H401=INT(H401)),FALSE),IF(ISNUMBER(K401),AND(K401&gt;=1,K401&lt;=10,K401=INT(K401)),FALSE)),F401*H401*K401,"")</f>
        <v/>
      </c>
      <c r="M401" s="54" t="str">
        <f>IF(L401="",IF(D401="","","À coter"),IF(OR(F401&gt;=p_gmin,L401&gt;=p_ipr_crit),"Critique",IF(L401&gt;=p_ipr_act,"Élevée",IF(L401&gt;=p_ipr_watch,"Moyenne","Faible"))))</f>
        <v/>
      </c>
      <c r="N401" s="54" t="str">
        <f>IF(OR(M401="",M401="À coter"),"",IF(OR(M401="Critique",M401="Élevée"),"Oui","Non"))</f>
        <v/>
      </c>
      <c r="O401" s="51" t="n"/>
      <c r="P401" s="51" t="n"/>
      <c r="Q401" s="55" t="n"/>
      <c r="R401" s="50" t="n"/>
      <c r="S401" s="55" t="n"/>
      <c r="T401" s="56" t="n"/>
      <c r="U401" s="52" t="n"/>
      <c r="V401" s="52" t="n"/>
      <c r="W401" s="52" t="n"/>
      <c r="X401" s="53" t="str">
        <f>IF(AND(L401&lt;&gt;"",IF(ISNUMBER(U401),AND(U401&gt;=1,U401&lt;=10,U401=INT(U401)),FALSE),IF(ISNUMBER(V401),AND(V401&gt;=1,V401&lt;=10,V401=INT(V401)),FALSE),IF(ISNUMBER(W401),AND(W401&gt;=1,W401&lt;=10,W401=INT(W401)),FALSE)),U401*V401*W401,"")</f>
        <v/>
      </c>
      <c r="Y401" s="54" t="str">
        <f>IF(X401="","",IF(OR(U401&gt;=p_gmin,X401&gt;=p_ipr_crit),"Critique",IF(X401&gt;=p_ipr_act,"Élevée",IF(X401&gt;=p_ipr_watch,"Moyenne","Faible"))))</f>
        <v/>
      </c>
      <c r="Z401" s="57" t="str">
        <f>IF(X401="","",(L401-X401)/L401)</f>
        <v/>
      </c>
      <c r="AA401" s="54" t="str">
        <f>IF(AND(D401="",O401=""),"",IF(O401="",IF(N401="Oui","Action à définir",IF(N401="Non","Sans action","")),IF(R401="Annulée","Annulée",IF(R401="Réalisée",IF(X401="","À réévaluer","Réalisée"),IF(N(Q401)=0,"Échéance manquante",IF(Q401&lt;p_today,"En retard",IF(Q401-p_today&lt;=p_alert,"Échéance proche","Dans les délais")))))))</f>
        <v/>
      </c>
      <c r="AB401" s="58" t="str">
        <f>IF(AND(A401="",B401="",D401="",F401="",H401="",K401="",O401=""),"",IF(D401="","Mode de défaillance manquant",IF(AND(A401&lt;&gt;"",COUNTIF(am_num,A401)&gt;1),"N° en double",IF(F401="","Gravité G manquante",IF(NOT(IF(ISNUMBER(F401),AND(F401&gt;=1,F401&lt;=10,F401=INT(F401)),FALSE)),"G : entier de 1 à 10",IF(H401="","Occurrence O manquante",IF(NOT(IF(ISNUMBER(H401),AND(H401&gt;=1,H401&lt;=10,H401=INT(H401)),FALSE)),"O : entier de 1 à 10",IF(K401="","Détection D manquante",IF(NOT(IF(ISNUMBER(K401),AND(K401&gt;=1,K401&lt;=10,K401=INT(K401)),FALSE)),"D : entier de 1 à 10",IF(G401="","Cause manquante",IF(AND(O401&lt;&gt;"",P401=""),"Responsable manquant",IF(AND(R401&lt;&gt;"",O401=""),"Statut sans action",IF(AND(R401="Réalisée",N(S401)=0),"Date de réalisation manquante",IF(AND(T401&lt;&gt;"",IF(ISNUMBER(T401),T401&lt;0,TRUE)),"Coût invalide",IF(AND(COUNTBLANK(U401:W401)&gt;0,COUNTBLANK(U401:W401)&lt;3),"Cotation après action incomplète",IF(AND(COUNTBLANK(U401:W401)=0,X401=""),"G', O', D' : entiers de 1 à 10",IF(AND(X401&lt;&gt;"",X401&gt;L401),"IPR après action plus élevé","OK")))))))))))))))))</f>
        <v/>
      </c>
      <c r="AC401" s="59" t="str">
        <f>IF(OR(AA401="En retard",AA401="Échéance proche",AA401="Dans les délais",AA401="Échéance manquante",AA401="Action à définir",AA401="À réévaluer"),IF(OR(plan_who="",P401=plan_who),IF(N(Q401)&gt;0,Q401,99999)*1000+ROW(),""),"")</f>
        <v/>
      </c>
      <c r="AD401" s="59" t="str">
        <f>IF(L401="","",L401*1000+1000-ROW())</f>
        <v/>
      </c>
      <c r="AE401" s="59" t="str">
        <f>IF(IF(AA401="En retard",1,IF(AA401="Action à définir",2,IF(AA401="Échéance manquante",3,IF(AA401="Échéance proche",4,IF(AA401="À réévaluer",5,0)))))=0,"",IF(AA401="En retard",1,IF(AA401="Action à définir",2,IF(AA401="Échéance manquante",3,IF(AA401="Échéance proche",4,IF(AA401="À réévaluer",5,0)))))*100000000+IF(N(Q401)&gt;0,Q401,99999)*1000+ROW())</f>
        <v/>
      </c>
      <c r="AF401" s="59" t="str">
        <f>IF(X401&lt;&gt;"",X401,L401)</f>
        <v/>
      </c>
      <c r="AG401" s="59" t="str">
        <f>IF(X401&lt;&gt;"",Y401,IF(L401&lt;&gt;"",M401,""))</f>
        <v/>
      </c>
      <c r="AH401" s="59" t="str">
        <f>IF(L401="","",IF(X401&lt;&gt;"",U401,F401))</f>
        <v/>
      </c>
      <c r="AI401" s="59" t="str">
        <f>IF(L401="","",IF(X401&lt;&gt;"",V401,H401))</f>
        <v/>
      </c>
    </row>
    <row r="402" ht="30" customHeight="1">
      <c r="A402" s="50" t="n"/>
      <c r="B402" s="51" t="n"/>
      <c r="C402" s="51" t="n"/>
      <c r="D402" s="51" t="n"/>
      <c r="E402" s="51" t="n"/>
      <c r="F402" s="52" t="n"/>
      <c r="G402" s="51" t="n"/>
      <c r="H402" s="52" t="n"/>
      <c r="I402" s="51" t="n"/>
      <c r="J402" s="51" t="n"/>
      <c r="K402" s="52" t="n"/>
      <c r="L402" s="53" t="str">
        <f>IF(AND(IF(ISNUMBER(F402),AND(F402&gt;=1,F402&lt;=10,F402=INT(F402)),FALSE),IF(ISNUMBER(H402),AND(H402&gt;=1,H402&lt;=10,H402=INT(H402)),FALSE),IF(ISNUMBER(K402),AND(K402&gt;=1,K402&lt;=10,K402=INT(K402)),FALSE)),F402*H402*K402,"")</f>
        <v/>
      </c>
      <c r="M402" s="54" t="str">
        <f>IF(L402="",IF(D402="","","À coter"),IF(OR(F402&gt;=p_gmin,L402&gt;=p_ipr_crit),"Critique",IF(L402&gt;=p_ipr_act,"Élevée",IF(L402&gt;=p_ipr_watch,"Moyenne","Faible"))))</f>
        <v/>
      </c>
      <c r="N402" s="54" t="str">
        <f>IF(OR(M402="",M402="À coter"),"",IF(OR(M402="Critique",M402="Élevée"),"Oui","Non"))</f>
        <v/>
      </c>
      <c r="O402" s="51" t="n"/>
      <c r="P402" s="51" t="n"/>
      <c r="Q402" s="55" t="n"/>
      <c r="R402" s="50" t="n"/>
      <c r="S402" s="55" t="n"/>
      <c r="T402" s="56" t="n"/>
      <c r="U402" s="52" t="n"/>
      <c r="V402" s="52" t="n"/>
      <c r="W402" s="52" t="n"/>
      <c r="X402" s="53" t="str">
        <f>IF(AND(L402&lt;&gt;"",IF(ISNUMBER(U402),AND(U402&gt;=1,U402&lt;=10,U402=INT(U402)),FALSE),IF(ISNUMBER(V402),AND(V402&gt;=1,V402&lt;=10,V402=INT(V402)),FALSE),IF(ISNUMBER(W402),AND(W402&gt;=1,W402&lt;=10,W402=INT(W402)),FALSE)),U402*V402*W402,"")</f>
        <v/>
      </c>
      <c r="Y402" s="54" t="str">
        <f>IF(X402="","",IF(OR(U402&gt;=p_gmin,X402&gt;=p_ipr_crit),"Critique",IF(X402&gt;=p_ipr_act,"Élevée",IF(X402&gt;=p_ipr_watch,"Moyenne","Faible"))))</f>
        <v/>
      </c>
      <c r="Z402" s="57" t="str">
        <f>IF(X402="","",(L402-X402)/L402)</f>
        <v/>
      </c>
      <c r="AA402" s="54" t="str">
        <f>IF(AND(D402="",O402=""),"",IF(O402="",IF(N402="Oui","Action à définir",IF(N402="Non","Sans action","")),IF(R402="Annulée","Annulée",IF(R402="Réalisée",IF(X402="","À réévaluer","Réalisée"),IF(N(Q402)=0,"Échéance manquante",IF(Q402&lt;p_today,"En retard",IF(Q402-p_today&lt;=p_alert,"Échéance proche","Dans les délais")))))))</f>
        <v/>
      </c>
      <c r="AB402" s="58" t="str">
        <f>IF(AND(A402="",B402="",D402="",F402="",H402="",K402="",O402=""),"",IF(D402="","Mode de défaillance manquant",IF(AND(A402&lt;&gt;"",COUNTIF(am_num,A402)&gt;1),"N° en double",IF(F402="","Gravité G manquante",IF(NOT(IF(ISNUMBER(F402),AND(F402&gt;=1,F402&lt;=10,F402=INT(F402)),FALSE)),"G : entier de 1 à 10",IF(H402="","Occurrence O manquante",IF(NOT(IF(ISNUMBER(H402),AND(H402&gt;=1,H402&lt;=10,H402=INT(H402)),FALSE)),"O : entier de 1 à 10",IF(K402="","Détection D manquante",IF(NOT(IF(ISNUMBER(K402),AND(K402&gt;=1,K402&lt;=10,K402=INT(K402)),FALSE)),"D : entier de 1 à 10",IF(G402="","Cause manquante",IF(AND(O402&lt;&gt;"",P402=""),"Responsable manquant",IF(AND(R402&lt;&gt;"",O402=""),"Statut sans action",IF(AND(R402="Réalisée",N(S402)=0),"Date de réalisation manquante",IF(AND(T402&lt;&gt;"",IF(ISNUMBER(T402),T402&lt;0,TRUE)),"Coût invalide",IF(AND(COUNTBLANK(U402:W402)&gt;0,COUNTBLANK(U402:W402)&lt;3),"Cotation après action incomplète",IF(AND(COUNTBLANK(U402:W402)=0,X402=""),"G', O', D' : entiers de 1 à 10",IF(AND(X402&lt;&gt;"",X402&gt;L402),"IPR après action plus élevé","OK")))))))))))))))))</f>
        <v/>
      </c>
      <c r="AC402" s="59" t="str">
        <f>IF(OR(AA402="En retard",AA402="Échéance proche",AA402="Dans les délais",AA402="Échéance manquante",AA402="Action à définir",AA402="À réévaluer"),IF(OR(plan_who="",P402=plan_who),IF(N(Q402)&gt;0,Q402,99999)*1000+ROW(),""),"")</f>
        <v/>
      </c>
      <c r="AD402" s="59" t="str">
        <f>IF(L402="","",L402*1000+1000-ROW())</f>
        <v/>
      </c>
      <c r="AE402" s="59" t="str">
        <f>IF(IF(AA402="En retard",1,IF(AA402="Action à définir",2,IF(AA402="Échéance manquante",3,IF(AA402="Échéance proche",4,IF(AA402="À réévaluer",5,0)))))=0,"",IF(AA402="En retard",1,IF(AA402="Action à définir",2,IF(AA402="Échéance manquante",3,IF(AA402="Échéance proche",4,IF(AA402="À réévaluer",5,0)))))*100000000+IF(N(Q402)&gt;0,Q402,99999)*1000+ROW())</f>
        <v/>
      </c>
      <c r="AF402" s="59" t="str">
        <f>IF(X402&lt;&gt;"",X402,L402)</f>
        <v/>
      </c>
      <c r="AG402" s="59" t="str">
        <f>IF(X402&lt;&gt;"",Y402,IF(L402&lt;&gt;"",M402,""))</f>
        <v/>
      </c>
      <c r="AH402" s="59" t="str">
        <f>IF(L402="","",IF(X402&lt;&gt;"",U402,F402))</f>
        <v/>
      </c>
      <c r="AI402" s="59" t="str">
        <f>IF(L402="","",IF(X402&lt;&gt;"",V402,H402))</f>
        <v/>
      </c>
    </row>
    <row r="403" ht="30" customHeight="1">
      <c r="A403" s="50" t="n"/>
      <c r="B403" s="51" t="n"/>
      <c r="C403" s="51" t="n"/>
      <c r="D403" s="51" t="n"/>
      <c r="E403" s="51" t="n"/>
      <c r="F403" s="52" t="n"/>
      <c r="G403" s="51" t="n"/>
      <c r="H403" s="52" t="n"/>
      <c r="I403" s="51" t="n"/>
      <c r="J403" s="51" t="n"/>
      <c r="K403" s="52" t="n"/>
      <c r="L403" s="53" t="str">
        <f>IF(AND(IF(ISNUMBER(F403),AND(F403&gt;=1,F403&lt;=10,F403=INT(F403)),FALSE),IF(ISNUMBER(H403),AND(H403&gt;=1,H403&lt;=10,H403=INT(H403)),FALSE),IF(ISNUMBER(K403),AND(K403&gt;=1,K403&lt;=10,K403=INT(K403)),FALSE)),F403*H403*K403,"")</f>
        <v/>
      </c>
      <c r="M403" s="54" t="str">
        <f>IF(L403="",IF(D403="","","À coter"),IF(OR(F403&gt;=p_gmin,L403&gt;=p_ipr_crit),"Critique",IF(L403&gt;=p_ipr_act,"Élevée",IF(L403&gt;=p_ipr_watch,"Moyenne","Faible"))))</f>
        <v/>
      </c>
      <c r="N403" s="54" t="str">
        <f>IF(OR(M403="",M403="À coter"),"",IF(OR(M403="Critique",M403="Élevée"),"Oui","Non"))</f>
        <v/>
      </c>
      <c r="O403" s="51" t="n"/>
      <c r="P403" s="51" t="n"/>
      <c r="Q403" s="55" t="n"/>
      <c r="R403" s="50" t="n"/>
      <c r="S403" s="55" t="n"/>
      <c r="T403" s="56" t="n"/>
      <c r="U403" s="52" t="n"/>
      <c r="V403" s="52" t="n"/>
      <c r="W403" s="52" t="n"/>
      <c r="X403" s="53" t="str">
        <f>IF(AND(L403&lt;&gt;"",IF(ISNUMBER(U403),AND(U403&gt;=1,U403&lt;=10,U403=INT(U403)),FALSE),IF(ISNUMBER(V403),AND(V403&gt;=1,V403&lt;=10,V403=INT(V403)),FALSE),IF(ISNUMBER(W403),AND(W403&gt;=1,W403&lt;=10,W403=INT(W403)),FALSE)),U403*V403*W403,"")</f>
        <v/>
      </c>
      <c r="Y403" s="54" t="str">
        <f>IF(X403="","",IF(OR(U403&gt;=p_gmin,X403&gt;=p_ipr_crit),"Critique",IF(X403&gt;=p_ipr_act,"Élevée",IF(X403&gt;=p_ipr_watch,"Moyenne","Faible"))))</f>
        <v/>
      </c>
      <c r="Z403" s="57" t="str">
        <f>IF(X403="","",(L403-X403)/L403)</f>
        <v/>
      </c>
      <c r="AA403" s="54" t="str">
        <f>IF(AND(D403="",O403=""),"",IF(O403="",IF(N403="Oui","Action à définir",IF(N403="Non","Sans action","")),IF(R403="Annulée","Annulée",IF(R403="Réalisée",IF(X403="","À réévaluer","Réalisée"),IF(N(Q403)=0,"Échéance manquante",IF(Q403&lt;p_today,"En retard",IF(Q403-p_today&lt;=p_alert,"Échéance proche","Dans les délais")))))))</f>
        <v/>
      </c>
      <c r="AB403" s="58" t="str">
        <f>IF(AND(A403="",B403="",D403="",F403="",H403="",K403="",O403=""),"",IF(D403="","Mode de défaillance manquant",IF(AND(A403&lt;&gt;"",COUNTIF(am_num,A403)&gt;1),"N° en double",IF(F403="","Gravité G manquante",IF(NOT(IF(ISNUMBER(F403),AND(F403&gt;=1,F403&lt;=10,F403=INT(F403)),FALSE)),"G : entier de 1 à 10",IF(H403="","Occurrence O manquante",IF(NOT(IF(ISNUMBER(H403),AND(H403&gt;=1,H403&lt;=10,H403=INT(H403)),FALSE)),"O : entier de 1 à 10",IF(K403="","Détection D manquante",IF(NOT(IF(ISNUMBER(K403),AND(K403&gt;=1,K403&lt;=10,K403=INT(K403)),FALSE)),"D : entier de 1 à 10",IF(G403="","Cause manquante",IF(AND(O403&lt;&gt;"",P403=""),"Responsable manquant",IF(AND(R403&lt;&gt;"",O403=""),"Statut sans action",IF(AND(R403="Réalisée",N(S403)=0),"Date de réalisation manquante",IF(AND(T403&lt;&gt;"",IF(ISNUMBER(T403),T403&lt;0,TRUE)),"Coût invalide",IF(AND(COUNTBLANK(U403:W403)&gt;0,COUNTBLANK(U403:W403)&lt;3),"Cotation après action incomplète",IF(AND(COUNTBLANK(U403:W403)=0,X403=""),"G', O', D' : entiers de 1 à 10",IF(AND(X403&lt;&gt;"",X403&gt;L403),"IPR après action plus élevé","OK")))))))))))))))))</f>
        <v/>
      </c>
      <c r="AC403" s="59" t="str">
        <f>IF(OR(AA403="En retard",AA403="Échéance proche",AA403="Dans les délais",AA403="Échéance manquante",AA403="Action à définir",AA403="À réévaluer"),IF(OR(plan_who="",P403=plan_who),IF(N(Q403)&gt;0,Q403,99999)*1000+ROW(),""),"")</f>
        <v/>
      </c>
      <c r="AD403" s="59" t="str">
        <f>IF(L403="","",L403*1000+1000-ROW())</f>
        <v/>
      </c>
      <c r="AE403" s="59" t="str">
        <f>IF(IF(AA403="En retard",1,IF(AA403="Action à définir",2,IF(AA403="Échéance manquante",3,IF(AA403="Échéance proche",4,IF(AA403="À réévaluer",5,0)))))=0,"",IF(AA403="En retard",1,IF(AA403="Action à définir",2,IF(AA403="Échéance manquante",3,IF(AA403="Échéance proche",4,IF(AA403="À réévaluer",5,0)))))*100000000+IF(N(Q403)&gt;0,Q403,99999)*1000+ROW())</f>
        <v/>
      </c>
      <c r="AF403" s="59" t="str">
        <f>IF(X403&lt;&gt;"",X403,L403)</f>
        <v/>
      </c>
      <c r="AG403" s="59" t="str">
        <f>IF(X403&lt;&gt;"",Y403,IF(L403&lt;&gt;"",M403,""))</f>
        <v/>
      </c>
      <c r="AH403" s="59" t="str">
        <f>IF(L403="","",IF(X403&lt;&gt;"",U403,F403))</f>
        <v/>
      </c>
      <c r="AI403" s="59" t="str">
        <f>IF(L403="","",IF(X403&lt;&gt;"",V403,H403))</f>
        <v/>
      </c>
    </row>
    <row r="404" ht="30" customHeight="1">
      <c r="A404" s="50" t="n"/>
      <c r="B404" s="51" t="n"/>
      <c r="C404" s="51" t="n"/>
      <c r="D404" s="51" t="n"/>
      <c r="E404" s="51" t="n"/>
      <c r="F404" s="52" t="n"/>
      <c r="G404" s="51" t="n"/>
      <c r="H404" s="52" t="n"/>
      <c r="I404" s="51" t="n"/>
      <c r="J404" s="51" t="n"/>
      <c r="K404" s="52" t="n"/>
      <c r="L404" s="53" t="str">
        <f>IF(AND(IF(ISNUMBER(F404),AND(F404&gt;=1,F404&lt;=10,F404=INT(F404)),FALSE),IF(ISNUMBER(H404),AND(H404&gt;=1,H404&lt;=10,H404=INT(H404)),FALSE),IF(ISNUMBER(K404),AND(K404&gt;=1,K404&lt;=10,K404=INT(K404)),FALSE)),F404*H404*K404,"")</f>
        <v/>
      </c>
      <c r="M404" s="54" t="str">
        <f>IF(L404="",IF(D404="","","À coter"),IF(OR(F404&gt;=p_gmin,L404&gt;=p_ipr_crit),"Critique",IF(L404&gt;=p_ipr_act,"Élevée",IF(L404&gt;=p_ipr_watch,"Moyenne","Faible"))))</f>
        <v/>
      </c>
      <c r="N404" s="54" t="str">
        <f>IF(OR(M404="",M404="À coter"),"",IF(OR(M404="Critique",M404="Élevée"),"Oui","Non"))</f>
        <v/>
      </c>
      <c r="O404" s="51" t="n"/>
      <c r="P404" s="51" t="n"/>
      <c r="Q404" s="55" t="n"/>
      <c r="R404" s="50" t="n"/>
      <c r="S404" s="55" t="n"/>
      <c r="T404" s="56" t="n"/>
      <c r="U404" s="52" t="n"/>
      <c r="V404" s="52" t="n"/>
      <c r="W404" s="52" t="n"/>
      <c r="X404" s="53" t="str">
        <f>IF(AND(L404&lt;&gt;"",IF(ISNUMBER(U404),AND(U404&gt;=1,U404&lt;=10,U404=INT(U404)),FALSE),IF(ISNUMBER(V404),AND(V404&gt;=1,V404&lt;=10,V404=INT(V404)),FALSE),IF(ISNUMBER(W404),AND(W404&gt;=1,W404&lt;=10,W404=INT(W404)),FALSE)),U404*V404*W404,"")</f>
        <v/>
      </c>
      <c r="Y404" s="54" t="str">
        <f>IF(X404="","",IF(OR(U404&gt;=p_gmin,X404&gt;=p_ipr_crit),"Critique",IF(X404&gt;=p_ipr_act,"Élevée",IF(X404&gt;=p_ipr_watch,"Moyenne","Faible"))))</f>
        <v/>
      </c>
      <c r="Z404" s="57" t="str">
        <f>IF(X404="","",(L404-X404)/L404)</f>
        <v/>
      </c>
      <c r="AA404" s="54" t="str">
        <f>IF(AND(D404="",O404=""),"",IF(O404="",IF(N404="Oui","Action à définir",IF(N404="Non","Sans action","")),IF(R404="Annulée","Annulée",IF(R404="Réalisée",IF(X404="","À réévaluer","Réalisée"),IF(N(Q404)=0,"Échéance manquante",IF(Q404&lt;p_today,"En retard",IF(Q404-p_today&lt;=p_alert,"Échéance proche","Dans les délais")))))))</f>
        <v/>
      </c>
      <c r="AB404" s="58" t="str">
        <f>IF(AND(A404="",B404="",D404="",F404="",H404="",K404="",O404=""),"",IF(D404="","Mode de défaillance manquant",IF(AND(A404&lt;&gt;"",COUNTIF(am_num,A404)&gt;1),"N° en double",IF(F404="","Gravité G manquante",IF(NOT(IF(ISNUMBER(F404),AND(F404&gt;=1,F404&lt;=10,F404=INT(F404)),FALSE)),"G : entier de 1 à 10",IF(H404="","Occurrence O manquante",IF(NOT(IF(ISNUMBER(H404),AND(H404&gt;=1,H404&lt;=10,H404=INT(H404)),FALSE)),"O : entier de 1 à 10",IF(K404="","Détection D manquante",IF(NOT(IF(ISNUMBER(K404),AND(K404&gt;=1,K404&lt;=10,K404=INT(K404)),FALSE)),"D : entier de 1 à 10",IF(G404="","Cause manquante",IF(AND(O404&lt;&gt;"",P404=""),"Responsable manquant",IF(AND(R404&lt;&gt;"",O404=""),"Statut sans action",IF(AND(R404="Réalisée",N(S404)=0),"Date de réalisation manquante",IF(AND(T404&lt;&gt;"",IF(ISNUMBER(T404),T404&lt;0,TRUE)),"Coût invalide",IF(AND(COUNTBLANK(U404:W404)&gt;0,COUNTBLANK(U404:W404)&lt;3),"Cotation après action incomplète",IF(AND(COUNTBLANK(U404:W404)=0,X404=""),"G', O', D' : entiers de 1 à 10",IF(AND(X404&lt;&gt;"",X404&gt;L404),"IPR après action plus élevé","OK")))))))))))))))))</f>
        <v/>
      </c>
      <c r="AC404" s="59" t="str">
        <f>IF(OR(AA404="En retard",AA404="Échéance proche",AA404="Dans les délais",AA404="Échéance manquante",AA404="Action à définir",AA404="À réévaluer"),IF(OR(plan_who="",P404=plan_who),IF(N(Q404)&gt;0,Q404,99999)*1000+ROW(),""),"")</f>
        <v/>
      </c>
      <c r="AD404" s="59" t="str">
        <f>IF(L404="","",L404*1000+1000-ROW())</f>
        <v/>
      </c>
      <c r="AE404" s="59" t="str">
        <f>IF(IF(AA404="En retard",1,IF(AA404="Action à définir",2,IF(AA404="Échéance manquante",3,IF(AA404="Échéance proche",4,IF(AA404="À réévaluer",5,0)))))=0,"",IF(AA404="En retard",1,IF(AA404="Action à définir",2,IF(AA404="Échéance manquante",3,IF(AA404="Échéance proche",4,IF(AA404="À réévaluer",5,0)))))*100000000+IF(N(Q404)&gt;0,Q404,99999)*1000+ROW())</f>
        <v/>
      </c>
      <c r="AF404" s="59" t="str">
        <f>IF(X404&lt;&gt;"",X404,L404)</f>
        <v/>
      </c>
      <c r="AG404" s="59" t="str">
        <f>IF(X404&lt;&gt;"",Y404,IF(L404&lt;&gt;"",M404,""))</f>
        <v/>
      </c>
      <c r="AH404" s="59" t="str">
        <f>IF(L404="","",IF(X404&lt;&gt;"",U404,F404))</f>
        <v/>
      </c>
      <c r="AI404" s="59" t="str">
        <f>IF(L404="","",IF(X404&lt;&gt;"",V404,H404))</f>
        <v/>
      </c>
    </row>
    <row r="405" ht="30" customHeight="1">
      <c r="A405" s="50" t="n"/>
      <c r="B405" s="51" t="n"/>
      <c r="C405" s="51" t="n"/>
      <c r="D405" s="51" t="n"/>
      <c r="E405" s="51" t="n"/>
      <c r="F405" s="52" t="n"/>
      <c r="G405" s="51" t="n"/>
      <c r="H405" s="52" t="n"/>
      <c r="I405" s="51" t="n"/>
      <c r="J405" s="51" t="n"/>
      <c r="K405" s="52" t="n"/>
      <c r="L405" s="53" t="str">
        <f>IF(AND(IF(ISNUMBER(F405),AND(F405&gt;=1,F405&lt;=10,F405=INT(F405)),FALSE),IF(ISNUMBER(H405),AND(H405&gt;=1,H405&lt;=10,H405=INT(H405)),FALSE),IF(ISNUMBER(K405),AND(K405&gt;=1,K405&lt;=10,K405=INT(K405)),FALSE)),F405*H405*K405,"")</f>
        <v/>
      </c>
      <c r="M405" s="54" t="str">
        <f>IF(L405="",IF(D405="","","À coter"),IF(OR(F405&gt;=p_gmin,L405&gt;=p_ipr_crit),"Critique",IF(L405&gt;=p_ipr_act,"Élevée",IF(L405&gt;=p_ipr_watch,"Moyenne","Faible"))))</f>
        <v/>
      </c>
      <c r="N405" s="54" t="str">
        <f>IF(OR(M405="",M405="À coter"),"",IF(OR(M405="Critique",M405="Élevée"),"Oui","Non"))</f>
        <v/>
      </c>
      <c r="O405" s="51" t="n"/>
      <c r="P405" s="51" t="n"/>
      <c r="Q405" s="55" t="n"/>
      <c r="R405" s="50" t="n"/>
      <c r="S405" s="55" t="n"/>
      <c r="T405" s="56" t="n"/>
      <c r="U405" s="52" t="n"/>
      <c r="V405" s="52" t="n"/>
      <c r="W405" s="52" t="n"/>
      <c r="X405" s="53" t="str">
        <f>IF(AND(L405&lt;&gt;"",IF(ISNUMBER(U405),AND(U405&gt;=1,U405&lt;=10,U405=INT(U405)),FALSE),IF(ISNUMBER(V405),AND(V405&gt;=1,V405&lt;=10,V405=INT(V405)),FALSE),IF(ISNUMBER(W405),AND(W405&gt;=1,W405&lt;=10,W405=INT(W405)),FALSE)),U405*V405*W405,"")</f>
        <v/>
      </c>
      <c r="Y405" s="54" t="str">
        <f>IF(X405="","",IF(OR(U405&gt;=p_gmin,X405&gt;=p_ipr_crit),"Critique",IF(X405&gt;=p_ipr_act,"Élevée",IF(X405&gt;=p_ipr_watch,"Moyenne","Faible"))))</f>
        <v/>
      </c>
      <c r="Z405" s="57" t="str">
        <f>IF(X405="","",(L405-X405)/L405)</f>
        <v/>
      </c>
      <c r="AA405" s="54" t="str">
        <f>IF(AND(D405="",O405=""),"",IF(O405="",IF(N405="Oui","Action à définir",IF(N405="Non","Sans action","")),IF(R405="Annulée","Annulée",IF(R405="Réalisée",IF(X405="","À réévaluer","Réalisée"),IF(N(Q405)=0,"Échéance manquante",IF(Q405&lt;p_today,"En retard",IF(Q405-p_today&lt;=p_alert,"Échéance proche","Dans les délais")))))))</f>
        <v/>
      </c>
      <c r="AB405" s="58" t="str">
        <f>IF(AND(A405="",B405="",D405="",F405="",H405="",K405="",O405=""),"",IF(D405="","Mode de défaillance manquant",IF(AND(A405&lt;&gt;"",COUNTIF(am_num,A405)&gt;1),"N° en double",IF(F405="","Gravité G manquante",IF(NOT(IF(ISNUMBER(F405),AND(F405&gt;=1,F405&lt;=10,F405=INT(F405)),FALSE)),"G : entier de 1 à 10",IF(H405="","Occurrence O manquante",IF(NOT(IF(ISNUMBER(H405),AND(H405&gt;=1,H405&lt;=10,H405=INT(H405)),FALSE)),"O : entier de 1 à 10",IF(K405="","Détection D manquante",IF(NOT(IF(ISNUMBER(K405),AND(K405&gt;=1,K405&lt;=10,K405=INT(K405)),FALSE)),"D : entier de 1 à 10",IF(G405="","Cause manquante",IF(AND(O405&lt;&gt;"",P405=""),"Responsable manquant",IF(AND(R405&lt;&gt;"",O405=""),"Statut sans action",IF(AND(R405="Réalisée",N(S405)=0),"Date de réalisation manquante",IF(AND(T405&lt;&gt;"",IF(ISNUMBER(T405),T405&lt;0,TRUE)),"Coût invalide",IF(AND(COUNTBLANK(U405:W405)&gt;0,COUNTBLANK(U405:W405)&lt;3),"Cotation après action incomplète",IF(AND(COUNTBLANK(U405:W405)=0,X405=""),"G', O', D' : entiers de 1 à 10",IF(AND(X405&lt;&gt;"",X405&gt;L405),"IPR après action plus élevé","OK")))))))))))))))))</f>
        <v/>
      </c>
      <c r="AC405" s="59" t="str">
        <f>IF(OR(AA405="En retard",AA405="Échéance proche",AA405="Dans les délais",AA405="Échéance manquante",AA405="Action à définir",AA405="À réévaluer"),IF(OR(plan_who="",P405=plan_who),IF(N(Q405)&gt;0,Q405,99999)*1000+ROW(),""),"")</f>
        <v/>
      </c>
      <c r="AD405" s="59" t="str">
        <f>IF(L405="","",L405*1000+1000-ROW())</f>
        <v/>
      </c>
      <c r="AE405" s="59" t="str">
        <f>IF(IF(AA405="En retard",1,IF(AA405="Action à définir",2,IF(AA405="Échéance manquante",3,IF(AA405="Échéance proche",4,IF(AA405="À réévaluer",5,0)))))=0,"",IF(AA405="En retard",1,IF(AA405="Action à définir",2,IF(AA405="Échéance manquante",3,IF(AA405="Échéance proche",4,IF(AA405="À réévaluer",5,0)))))*100000000+IF(N(Q405)&gt;0,Q405,99999)*1000+ROW())</f>
        <v/>
      </c>
      <c r="AF405" s="59" t="str">
        <f>IF(X405&lt;&gt;"",X405,L405)</f>
        <v/>
      </c>
      <c r="AG405" s="59" t="str">
        <f>IF(X405&lt;&gt;"",Y405,IF(L405&lt;&gt;"",M405,""))</f>
        <v/>
      </c>
      <c r="AH405" s="59" t="str">
        <f>IF(L405="","",IF(X405&lt;&gt;"",U405,F405))</f>
        <v/>
      </c>
      <c r="AI405" s="59" t="str">
        <f>IF(L405="","",IF(X405&lt;&gt;"",V405,H405))</f>
        <v/>
      </c>
    </row>
    <row r="406" ht="30" customHeight="1">
      <c r="A406" s="50" t="n"/>
      <c r="B406" s="51" t="n"/>
      <c r="C406" s="51" t="n"/>
      <c r="D406" s="51" t="n"/>
      <c r="E406" s="51" t="n"/>
      <c r="F406" s="52" t="n"/>
      <c r="G406" s="51" t="n"/>
      <c r="H406" s="52" t="n"/>
      <c r="I406" s="51" t="n"/>
      <c r="J406" s="51" t="n"/>
      <c r="K406" s="52" t="n"/>
      <c r="L406" s="53" t="str">
        <f>IF(AND(IF(ISNUMBER(F406),AND(F406&gt;=1,F406&lt;=10,F406=INT(F406)),FALSE),IF(ISNUMBER(H406),AND(H406&gt;=1,H406&lt;=10,H406=INT(H406)),FALSE),IF(ISNUMBER(K406),AND(K406&gt;=1,K406&lt;=10,K406=INT(K406)),FALSE)),F406*H406*K406,"")</f>
        <v/>
      </c>
      <c r="M406" s="54" t="str">
        <f>IF(L406="",IF(D406="","","À coter"),IF(OR(F406&gt;=p_gmin,L406&gt;=p_ipr_crit),"Critique",IF(L406&gt;=p_ipr_act,"Élevée",IF(L406&gt;=p_ipr_watch,"Moyenne","Faible"))))</f>
        <v/>
      </c>
      <c r="N406" s="54" t="str">
        <f>IF(OR(M406="",M406="À coter"),"",IF(OR(M406="Critique",M406="Élevée"),"Oui","Non"))</f>
        <v/>
      </c>
      <c r="O406" s="51" t="n"/>
      <c r="P406" s="51" t="n"/>
      <c r="Q406" s="55" t="n"/>
      <c r="R406" s="50" t="n"/>
      <c r="S406" s="55" t="n"/>
      <c r="T406" s="56" t="n"/>
      <c r="U406" s="52" t="n"/>
      <c r="V406" s="52" t="n"/>
      <c r="W406" s="52" t="n"/>
      <c r="X406" s="53" t="str">
        <f>IF(AND(L406&lt;&gt;"",IF(ISNUMBER(U406),AND(U406&gt;=1,U406&lt;=10,U406=INT(U406)),FALSE),IF(ISNUMBER(V406),AND(V406&gt;=1,V406&lt;=10,V406=INT(V406)),FALSE),IF(ISNUMBER(W406),AND(W406&gt;=1,W406&lt;=10,W406=INT(W406)),FALSE)),U406*V406*W406,"")</f>
        <v/>
      </c>
      <c r="Y406" s="54" t="str">
        <f>IF(X406="","",IF(OR(U406&gt;=p_gmin,X406&gt;=p_ipr_crit),"Critique",IF(X406&gt;=p_ipr_act,"Élevée",IF(X406&gt;=p_ipr_watch,"Moyenne","Faible"))))</f>
        <v/>
      </c>
      <c r="Z406" s="57" t="str">
        <f>IF(X406="","",(L406-X406)/L406)</f>
        <v/>
      </c>
      <c r="AA406" s="54" t="str">
        <f>IF(AND(D406="",O406=""),"",IF(O406="",IF(N406="Oui","Action à définir",IF(N406="Non","Sans action","")),IF(R406="Annulée","Annulée",IF(R406="Réalisée",IF(X406="","À réévaluer","Réalisée"),IF(N(Q406)=0,"Échéance manquante",IF(Q406&lt;p_today,"En retard",IF(Q406-p_today&lt;=p_alert,"Échéance proche","Dans les délais")))))))</f>
        <v/>
      </c>
      <c r="AB406" s="58" t="str">
        <f>IF(AND(A406="",B406="",D406="",F406="",H406="",K406="",O406=""),"",IF(D406="","Mode de défaillance manquant",IF(AND(A406&lt;&gt;"",COUNTIF(am_num,A406)&gt;1),"N° en double",IF(F406="","Gravité G manquante",IF(NOT(IF(ISNUMBER(F406),AND(F406&gt;=1,F406&lt;=10,F406=INT(F406)),FALSE)),"G : entier de 1 à 10",IF(H406="","Occurrence O manquante",IF(NOT(IF(ISNUMBER(H406),AND(H406&gt;=1,H406&lt;=10,H406=INT(H406)),FALSE)),"O : entier de 1 à 10",IF(K406="","Détection D manquante",IF(NOT(IF(ISNUMBER(K406),AND(K406&gt;=1,K406&lt;=10,K406=INT(K406)),FALSE)),"D : entier de 1 à 10",IF(G406="","Cause manquante",IF(AND(O406&lt;&gt;"",P406=""),"Responsable manquant",IF(AND(R406&lt;&gt;"",O406=""),"Statut sans action",IF(AND(R406="Réalisée",N(S406)=0),"Date de réalisation manquante",IF(AND(T406&lt;&gt;"",IF(ISNUMBER(T406),T406&lt;0,TRUE)),"Coût invalide",IF(AND(COUNTBLANK(U406:W406)&gt;0,COUNTBLANK(U406:W406)&lt;3),"Cotation après action incomplète",IF(AND(COUNTBLANK(U406:W406)=0,X406=""),"G', O', D' : entiers de 1 à 10",IF(AND(X406&lt;&gt;"",X406&gt;L406),"IPR après action plus élevé","OK")))))))))))))))))</f>
        <v/>
      </c>
      <c r="AC406" s="59" t="str">
        <f>IF(OR(AA406="En retard",AA406="Échéance proche",AA406="Dans les délais",AA406="Échéance manquante",AA406="Action à définir",AA406="À réévaluer"),IF(OR(plan_who="",P406=plan_who),IF(N(Q406)&gt;0,Q406,99999)*1000+ROW(),""),"")</f>
        <v/>
      </c>
      <c r="AD406" s="59" t="str">
        <f>IF(L406="","",L406*1000+1000-ROW())</f>
        <v/>
      </c>
      <c r="AE406" s="59" t="str">
        <f>IF(IF(AA406="En retard",1,IF(AA406="Action à définir",2,IF(AA406="Échéance manquante",3,IF(AA406="Échéance proche",4,IF(AA406="À réévaluer",5,0)))))=0,"",IF(AA406="En retard",1,IF(AA406="Action à définir",2,IF(AA406="Échéance manquante",3,IF(AA406="Échéance proche",4,IF(AA406="À réévaluer",5,0)))))*100000000+IF(N(Q406)&gt;0,Q406,99999)*1000+ROW())</f>
        <v/>
      </c>
      <c r="AF406" s="59" t="str">
        <f>IF(X406&lt;&gt;"",X406,L406)</f>
        <v/>
      </c>
      <c r="AG406" s="59" t="str">
        <f>IF(X406&lt;&gt;"",Y406,IF(L406&lt;&gt;"",M406,""))</f>
        <v/>
      </c>
      <c r="AH406" s="59" t="str">
        <f>IF(L406="","",IF(X406&lt;&gt;"",U406,F406))</f>
        <v/>
      </c>
      <c r="AI406" s="59" t="str">
        <f>IF(L406="","",IF(X406&lt;&gt;"",V406,H406))</f>
        <v/>
      </c>
    </row>
    <row r="407" ht="30" customHeight="1">
      <c r="A407" s="50" t="n"/>
      <c r="B407" s="51" t="n"/>
      <c r="C407" s="51" t="n"/>
      <c r="D407" s="51" t="n"/>
      <c r="E407" s="51" t="n"/>
      <c r="F407" s="52" t="n"/>
      <c r="G407" s="51" t="n"/>
      <c r="H407" s="52" t="n"/>
      <c r="I407" s="51" t="n"/>
      <c r="J407" s="51" t="n"/>
      <c r="K407" s="52" t="n"/>
      <c r="L407" s="53" t="str">
        <f>IF(AND(IF(ISNUMBER(F407),AND(F407&gt;=1,F407&lt;=10,F407=INT(F407)),FALSE),IF(ISNUMBER(H407),AND(H407&gt;=1,H407&lt;=10,H407=INT(H407)),FALSE),IF(ISNUMBER(K407),AND(K407&gt;=1,K407&lt;=10,K407=INT(K407)),FALSE)),F407*H407*K407,"")</f>
        <v/>
      </c>
      <c r="M407" s="54" t="str">
        <f>IF(L407="",IF(D407="","","À coter"),IF(OR(F407&gt;=p_gmin,L407&gt;=p_ipr_crit),"Critique",IF(L407&gt;=p_ipr_act,"Élevée",IF(L407&gt;=p_ipr_watch,"Moyenne","Faible"))))</f>
        <v/>
      </c>
      <c r="N407" s="54" t="str">
        <f>IF(OR(M407="",M407="À coter"),"",IF(OR(M407="Critique",M407="Élevée"),"Oui","Non"))</f>
        <v/>
      </c>
      <c r="O407" s="51" t="n"/>
      <c r="P407" s="51" t="n"/>
      <c r="Q407" s="55" t="n"/>
      <c r="R407" s="50" t="n"/>
      <c r="S407" s="55" t="n"/>
      <c r="T407" s="56" t="n"/>
      <c r="U407" s="52" t="n"/>
      <c r="V407" s="52" t="n"/>
      <c r="W407" s="52" t="n"/>
      <c r="X407" s="53" t="str">
        <f>IF(AND(L407&lt;&gt;"",IF(ISNUMBER(U407),AND(U407&gt;=1,U407&lt;=10,U407=INT(U407)),FALSE),IF(ISNUMBER(V407),AND(V407&gt;=1,V407&lt;=10,V407=INT(V407)),FALSE),IF(ISNUMBER(W407),AND(W407&gt;=1,W407&lt;=10,W407=INT(W407)),FALSE)),U407*V407*W407,"")</f>
        <v/>
      </c>
      <c r="Y407" s="54" t="str">
        <f>IF(X407="","",IF(OR(U407&gt;=p_gmin,X407&gt;=p_ipr_crit),"Critique",IF(X407&gt;=p_ipr_act,"Élevée",IF(X407&gt;=p_ipr_watch,"Moyenne","Faible"))))</f>
        <v/>
      </c>
      <c r="Z407" s="57" t="str">
        <f>IF(X407="","",(L407-X407)/L407)</f>
        <v/>
      </c>
      <c r="AA407" s="54" t="str">
        <f>IF(AND(D407="",O407=""),"",IF(O407="",IF(N407="Oui","Action à définir",IF(N407="Non","Sans action","")),IF(R407="Annulée","Annulée",IF(R407="Réalisée",IF(X407="","À réévaluer","Réalisée"),IF(N(Q407)=0,"Échéance manquante",IF(Q407&lt;p_today,"En retard",IF(Q407-p_today&lt;=p_alert,"Échéance proche","Dans les délais")))))))</f>
        <v/>
      </c>
      <c r="AB407" s="58" t="str">
        <f>IF(AND(A407="",B407="",D407="",F407="",H407="",K407="",O407=""),"",IF(D407="","Mode de défaillance manquant",IF(AND(A407&lt;&gt;"",COUNTIF(am_num,A407)&gt;1),"N° en double",IF(F407="","Gravité G manquante",IF(NOT(IF(ISNUMBER(F407),AND(F407&gt;=1,F407&lt;=10,F407=INT(F407)),FALSE)),"G : entier de 1 à 10",IF(H407="","Occurrence O manquante",IF(NOT(IF(ISNUMBER(H407),AND(H407&gt;=1,H407&lt;=10,H407=INT(H407)),FALSE)),"O : entier de 1 à 10",IF(K407="","Détection D manquante",IF(NOT(IF(ISNUMBER(K407),AND(K407&gt;=1,K407&lt;=10,K407=INT(K407)),FALSE)),"D : entier de 1 à 10",IF(G407="","Cause manquante",IF(AND(O407&lt;&gt;"",P407=""),"Responsable manquant",IF(AND(R407&lt;&gt;"",O407=""),"Statut sans action",IF(AND(R407="Réalisée",N(S407)=0),"Date de réalisation manquante",IF(AND(T407&lt;&gt;"",IF(ISNUMBER(T407),T407&lt;0,TRUE)),"Coût invalide",IF(AND(COUNTBLANK(U407:W407)&gt;0,COUNTBLANK(U407:W407)&lt;3),"Cotation après action incomplète",IF(AND(COUNTBLANK(U407:W407)=0,X407=""),"G', O', D' : entiers de 1 à 10",IF(AND(X407&lt;&gt;"",X407&gt;L407),"IPR après action plus élevé","OK")))))))))))))))))</f>
        <v/>
      </c>
      <c r="AC407" s="59" t="str">
        <f>IF(OR(AA407="En retard",AA407="Échéance proche",AA407="Dans les délais",AA407="Échéance manquante",AA407="Action à définir",AA407="À réévaluer"),IF(OR(plan_who="",P407=plan_who),IF(N(Q407)&gt;0,Q407,99999)*1000+ROW(),""),"")</f>
        <v/>
      </c>
      <c r="AD407" s="59" t="str">
        <f>IF(L407="","",L407*1000+1000-ROW())</f>
        <v/>
      </c>
      <c r="AE407" s="59" t="str">
        <f>IF(IF(AA407="En retard",1,IF(AA407="Action à définir",2,IF(AA407="Échéance manquante",3,IF(AA407="Échéance proche",4,IF(AA407="À réévaluer",5,0)))))=0,"",IF(AA407="En retard",1,IF(AA407="Action à définir",2,IF(AA407="Échéance manquante",3,IF(AA407="Échéance proche",4,IF(AA407="À réévaluer",5,0)))))*100000000+IF(N(Q407)&gt;0,Q407,99999)*1000+ROW())</f>
        <v/>
      </c>
      <c r="AF407" s="59" t="str">
        <f>IF(X407&lt;&gt;"",X407,L407)</f>
        <v/>
      </c>
      <c r="AG407" s="59" t="str">
        <f>IF(X407&lt;&gt;"",Y407,IF(L407&lt;&gt;"",M407,""))</f>
        <v/>
      </c>
      <c r="AH407" s="59" t="str">
        <f>IF(L407="","",IF(X407&lt;&gt;"",U407,F407))</f>
        <v/>
      </c>
      <c r="AI407" s="59" t="str">
        <f>IF(L407="","",IF(X407&lt;&gt;"",V407,H407))</f>
        <v/>
      </c>
    </row>
    <row r="408" ht="30" customHeight="1">
      <c r="A408" s="50" t="n"/>
      <c r="B408" s="51" t="n"/>
      <c r="C408" s="51" t="n"/>
      <c r="D408" s="51" t="n"/>
      <c r="E408" s="51" t="n"/>
      <c r="F408" s="52" t="n"/>
      <c r="G408" s="51" t="n"/>
      <c r="H408" s="52" t="n"/>
      <c r="I408" s="51" t="n"/>
      <c r="J408" s="51" t="n"/>
      <c r="K408" s="52" t="n"/>
      <c r="L408" s="53" t="str">
        <f>IF(AND(IF(ISNUMBER(F408),AND(F408&gt;=1,F408&lt;=10,F408=INT(F408)),FALSE),IF(ISNUMBER(H408),AND(H408&gt;=1,H408&lt;=10,H408=INT(H408)),FALSE),IF(ISNUMBER(K408),AND(K408&gt;=1,K408&lt;=10,K408=INT(K408)),FALSE)),F408*H408*K408,"")</f>
        <v/>
      </c>
      <c r="M408" s="54" t="str">
        <f>IF(L408="",IF(D408="","","À coter"),IF(OR(F408&gt;=p_gmin,L408&gt;=p_ipr_crit),"Critique",IF(L408&gt;=p_ipr_act,"Élevée",IF(L408&gt;=p_ipr_watch,"Moyenne","Faible"))))</f>
        <v/>
      </c>
      <c r="N408" s="54" t="str">
        <f>IF(OR(M408="",M408="À coter"),"",IF(OR(M408="Critique",M408="Élevée"),"Oui","Non"))</f>
        <v/>
      </c>
      <c r="O408" s="51" t="n"/>
      <c r="P408" s="51" t="n"/>
      <c r="Q408" s="55" t="n"/>
      <c r="R408" s="50" t="n"/>
      <c r="S408" s="55" t="n"/>
      <c r="T408" s="56" t="n"/>
      <c r="U408" s="52" t="n"/>
      <c r="V408" s="52" t="n"/>
      <c r="W408" s="52" t="n"/>
      <c r="X408" s="53" t="str">
        <f>IF(AND(L408&lt;&gt;"",IF(ISNUMBER(U408),AND(U408&gt;=1,U408&lt;=10,U408=INT(U408)),FALSE),IF(ISNUMBER(V408),AND(V408&gt;=1,V408&lt;=10,V408=INT(V408)),FALSE),IF(ISNUMBER(W408),AND(W408&gt;=1,W408&lt;=10,W408=INT(W408)),FALSE)),U408*V408*W408,"")</f>
        <v/>
      </c>
      <c r="Y408" s="54" t="str">
        <f>IF(X408="","",IF(OR(U408&gt;=p_gmin,X408&gt;=p_ipr_crit),"Critique",IF(X408&gt;=p_ipr_act,"Élevée",IF(X408&gt;=p_ipr_watch,"Moyenne","Faible"))))</f>
        <v/>
      </c>
      <c r="Z408" s="57" t="str">
        <f>IF(X408="","",(L408-X408)/L408)</f>
        <v/>
      </c>
      <c r="AA408" s="54" t="str">
        <f>IF(AND(D408="",O408=""),"",IF(O408="",IF(N408="Oui","Action à définir",IF(N408="Non","Sans action","")),IF(R408="Annulée","Annulée",IF(R408="Réalisée",IF(X408="","À réévaluer","Réalisée"),IF(N(Q408)=0,"Échéance manquante",IF(Q408&lt;p_today,"En retard",IF(Q408-p_today&lt;=p_alert,"Échéance proche","Dans les délais")))))))</f>
        <v/>
      </c>
      <c r="AB408" s="58" t="str">
        <f>IF(AND(A408="",B408="",D408="",F408="",H408="",K408="",O408=""),"",IF(D408="","Mode de défaillance manquant",IF(AND(A408&lt;&gt;"",COUNTIF(am_num,A408)&gt;1),"N° en double",IF(F408="","Gravité G manquante",IF(NOT(IF(ISNUMBER(F408),AND(F408&gt;=1,F408&lt;=10,F408=INT(F408)),FALSE)),"G : entier de 1 à 10",IF(H408="","Occurrence O manquante",IF(NOT(IF(ISNUMBER(H408),AND(H408&gt;=1,H408&lt;=10,H408=INT(H408)),FALSE)),"O : entier de 1 à 10",IF(K408="","Détection D manquante",IF(NOT(IF(ISNUMBER(K408),AND(K408&gt;=1,K408&lt;=10,K408=INT(K408)),FALSE)),"D : entier de 1 à 10",IF(G408="","Cause manquante",IF(AND(O408&lt;&gt;"",P408=""),"Responsable manquant",IF(AND(R408&lt;&gt;"",O408=""),"Statut sans action",IF(AND(R408="Réalisée",N(S408)=0),"Date de réalisation manquante",IF(AND(T408&lt;&gt;"",IF(ISNUMBER(T408),T408&lt;0,TRUE)),"Coût invalide",IF(AND(COUNTBLANK(U408:W408)&gt;0,COUNTBLANK(U408:W408)&lt;3),"Cotation après action incomplète",IF(AND(COUNTBLANK(U408:W408)=0,X408=""),"G', O', D' : entiers de 1 à 10",IF(AND(X408&lt;&gt;"",X408&gt;L408),"IPR après action plus élevé","OK")))))))))))))))))</f>
        <v/>
      </c>
      <c r="AC408" s="59" t="str">
        <f>IF(OR(AA408="En retard",AA408="Échéance proche",AA408="Dans les délais",AA408="Échéance manquante",AA408="Action à définir",AA408="À réévaluer"),IF(OR(plan_who="",P408=plan_who),IF(N(Q408)&gt;0,Q408,99999)*1000+ROW(),""),"")</f>
        <v/>
      </c>
      <c r="AD408" s="59" t="str">
        <f>IF(L408="","",L408*1000+1000-ROW())</f>
        <v/>
      </c>
      <c r="AE408" s="59" t="str">
        <f>IF(IF(AA408="En retard",1,IF(AA408="Action à définir",2,IF(AA408="Échéance manquante",3,IF(AA408="Échéance proche",4,IF(AA408="À réévaluer",5,0)))))=0,"",IF(AA408="En retard",1,IF(AA408="Action à définir",2,IF(AA408="Échéance manquante",3,IF(AA408="Échéance proche",4,IF(AA408="À réévaluer",5,0)))))*100000000+IF(N(Q408)&gt;0,Q408,99999)*1000+ROW())</f>
        <v/>
      </c>
      <c r="AF408" s="59" t="str">
        <f>IF(X408&lt;&gt;"",X408,L408)</f>
        <v/>
      </c>
      <c r="AG408" s="59" t="str">
        <f>IF(X408&lt;&gt;"",Y408,IF(L408&lt;&gt;"",M408,""))</f>
        <v/>
      </c>
      <c r="AH408" s="59" t="str">
        <f>IF(L408="","",IF(X408&lt;&gt;"",U408,F408))</f>
        <v/>
      </c>
      <c r="AI408" s="59" t="str">
        <f>IF(L408="","",IF(X408&lt;&gt;"",V408,H408))</f>
        <v/>
      </c>
    </row>
    <row r="409" ht="30" customHeight="1">
      <c r="A409" s="50" t="n"/>
      <c r="B409" s="51" t="n"/>
      <c r="C409" s="51" t="n"/>
      <c r="D409" s="51" t="n"/>
      <c r="E409" s="51" t="n"/>
      <c r="F409" s="52" t="n"/>
      <c r="G409" s="51" t="n"/>
      <c r="H409" s="52" t="n"/>
      <c r="I409" s="51" t="n"/>
      <c r="J409" s="51" t="n"/>
      <c r="K409" s="52" t="n"/>
      <c r="L409" s="53" t="str">
        <f>IF(AND(IF(ISNUMBER(F409),AND(F409&gt;=1,F409&lt;=10,F409=INT(F409)),FALSE),IF(ISNUMBER(H409),AND(H409&gt;=1,H409&lt;=10,H409=INT(H409)),FALSE),IF(ISNUMBER(K409),AND(K409&gt;=1,K409&lt;=10,K409=INT(K409)),FALSE)),F409*H409*K409,"")</f>
        <v/>
      </c>
      <c r="M409" s="54" t="str">
        <f>IF(L409="",IF(D409="","","À coter"),IF(OR(F409&gt;=p_gmin,L409&gt;=p_ipr_crit),"Critique",IF(L409&gt;=p_ipr_act,"Élevée",IF(L409&gt;=p_ipr_watch,"Moyenne","Faible"))))</f>
        <v/>
      </c>
      <c r="N409" s="54" t="str">
        <f>IF(OR(M409="",M409="À coter"),"",IF(OR(M409="Critique",M409="Élevée"),"Oui","Non"))</f>
        <v/>
      </c>
      <c r="O409" s="51" t="n"/>
      <c r="P409" s="51" t="n"/>
      <c r="Q409" s="55" t="n"/>
      <c r="R409" s="50" t="n"/>
      <c r="S409" s="55" t="n"/>
      <c r="T409" s="56" t="n"/>
      <c r="U409" s="52" t="n"/>
      <c r="V409" s="52" t="n"/>
      <c r="W409" s="52" t="n"/>
      <c r="X409" s="53" t="str">
        <f>IF(AND(L409&lt;&gt;"",IF(ISNUMBER(U409),AND(U409&gt;=1,U409&lt;=10,U409=INT(U409)),FALSE),IF(ISNUMBER(V409),AND(V409&gt;=1,V409&lt;=10,V409=INT(V409)),FALSE),IF(ISNUMBER(W409),AND(W409&gt;=1,W409&lt;=10,W409=INT(W409)),FALSE)),U409*V409*W409,"")</f>
        <v/>
      </c>
      <c r="Y409" s="54" t="str">
        <f>IF(X409="","",IF(OR(U409&gt;=p_gmin,X409&gt;=p_ipr_crit),"Critique",IF(X409&gt;=p_ipr_act,"Élevée",IF(X409&gt;=p_ipr_watch,"Moyenne","Faible"))))</f>
        <v/>
      </c>
      <c r="Z409" s="57" t="str">
        <f>IF(X409="","",(L409-X409)/L409)</f>
        <v/>
      </c>
      <c r="AA409" s="54" t="str">
        <f>IF(AND(D409="",O409=""),"",IF(O409="",IF(N409="Oui","Action à définir",IF(N409="Non","Sans action","")),IF(R409="Annulée","Annulée",IF(R409="Réalisée",IF(X409="","À réévaluer","Réalisée"),IF(N(Q409)=0,"Échéance manquante",IF(Q409&lt;p_today,"En retard",IF(Q409-p_today&lt;=p_alert,"Échéance proche","Dans les délais")))))))</f>
        <v/>
      </c>
      <c r="AB409" s="58" t="str">
        <f>IF(AND(A409="",B409="",D409="",F409="",H409="",K409="",O409=""),"",IF(D409="","Mode de défaillance manquant",IF(AND(A409&lt;&gt;"",COUNTIF(am_num,A409)&gt;1),"N° en double",IF(F409="","Gravité G manquante",IF(NOT(IF(ISNUMBER(F409),AND(F409&gt;=1,F409&lt;=10,F409=INT(F409)),FALSE)),"G : entier de 1 à 10",IF(H409="","Occurrence O manquante",IF(NOT(IF(ISNUMBER(H409),AND(H409&gt;=1,H409&lt;=10,H409=INT(H409)),FALSE)),"O : entier de 1 à 10",IF(K409="","Détection D manquante",IF(NOT(IF(ISNUMBER(K409),AND(K409&gt;=1,K409&lt;=10,K409=INT(K409)),FALSE)),"D : entier de 1 à 10",IF(G409="","Cause manquante",IF(AND(O409&lt;&gt;"",P409=""),"Responsable manquant",IF(AND(R409&lt;&gt;"",O409=""),"Statut sans action",IF(AND(R409="Réalisée",N(S409)=0),"Date de réalisation manquante",IF(AND(T409&lt;&gt;"",IF(ISNUMBER(T409),T409&lt;0,TRUE)),"Coût invalide",IF(AND(COUNTBLANK(U409:W409)&gt;0,COUNTBLANK(U409:W409)&lt;3),"Cotation après action incomplète",IF(AND(COUNTBLANK(U409:W409)=0,X409=""),"G', O', D' : entiers de 1 à 10",IF(AND(X409&lt;&gt;"",X409&gt;L409),"IPR après action plus élevé","OK")))))))))))))))))</f>
        <v/>
      </c>
      <c r="AC409" s="59" t="str">
        <f>IF(OR(AA409="En retard",AA409="Échéance proche",AA409="Dans les délais",AA409="Échéance manquante",AA409="Action à définir",AA409="À réévaluer"),IF(OR(plan_who="",P409=plan_who),IF(N(Q409)&gt;0,Q409,99999)*1000+ROW(),""),"")</f>
        <v/>
      </c>
      <c r="AD409" s="59" t="str">
        <f>IF(L409="","",L409*1000+1000-ROW())</f>
        <v/>
      </c>
      <c r="AE409" s="59" t="str">
        <f>IF(IF(AA409="En retard",1,IF(AA409="Action à définir",2,IF(AA409="Échéance manquante",3,IF(AA409="Échéance proche",4,IF(AA409="À réévaluer",5,0)))))=0,"",IF(AA409="En retard",1,IF(AA409="Action à définir",2,IF(AA409="Échéance manquante",3,IF(AA409="Échéance proche",4,IF(AA409="À réévaluer",5,0)))))*100000000+IF(N(Q409)&gt;0,Q409,99999)*1000+ROW())</f>
        <v/>
      </c>
      <c r="AF409" s="59" t="str">
        <f>IF(X409&lt;&gt;"",X409,L409)</f>
        <v/>
      </c>
      <c r="AG409" s="59" t="str">
        <f>IF(X409&lt;&gt;"",Y409,IF(L409&lt;&gt;"",M409,""))</f>
        <v/>
      </c>
      <c r="AH409" s="59" t="str">
        <f>IF(L409="","",IF(X409&lt;&gt;"",U409,F409))</f>
        <v/>
      </c>
      <c r="AI409" s="59" t="str">
        <f>IF(L409="","",IF(X409&lt;&gt;"",V409,H409))</f>
        <v/>
      </c>
    </row>
    <row r="410" ht="30" customHeight="1">
      <c r="A410" s="50" t="n"/>
      <c r="B410" s="51" t="n"/>
      <c r="C410" s="51" t="n"/>
      <c r="D410" s="51" t="n"/>
      <c r="E410" s="51" t="n"/>
      <c r="F410" s="52" t="n"/>
      <c r="G410" s="51" t="n"/>
      <c r="H410" s="52" t="n"/>
      <c r="I410" s="51" t="n"/>
      <c r="J410" s="51" t="n"/>
      <c r="K410" s="52" t="n"/>
      <c r="L410" s="53" t="str">
        <f>IF(AND(IF(ISNUMBER(F410),AND(F410&gt;=1,F410&lt;=10,F410=INT(F410)),FALSE),IF(ISNUMBER(H410),AND(H410&gt;=1,H410&lt;=10,H410=INT(H410)),FALSE),IF(ISNUMBER(K410),AND(K410&gt;=1,K410&lt;=10,K410=INT(K410)),FALSE)),F410*H410*K410,"")</f>
        <v/>
      </c>
      <c r="M410" s="54" t="str">
        <f>IF(L410="",IF(D410="","","À coter"),IF(OR(F410&gt;=p_gmin,L410&gt;=p_ipr_crit),"Critique",IF(L410&gt;=p_ipr_act,"Élevée",IF(L410&gt;=p_ipr_watch,"Moyenne","Faible"))))</f>
        <v/>
      </c>
      <c r="N410" s="54" t="str">
        <f>IF(OR(M410="",M410="À coter"),"",IF(OR(M410="Critique",M410="Élevée"),"Oui","Non"))</f>
        <v/>
      </c>
      <c r="O410" s="51" t="n"/>
      <c r="P410" s="51" t="n"/>
      <c r="Q410" s="55" t="n"/>
      <c r="R410" s="50" t="n"/>
      <c r="S410" s="55" t="n"/>
      <c r="T410" s="56" t="n"/>
      <c r="U410" s="52" t="n"/>
      <c r="V410" s="52" t="n"/>
      <c r="W410" s="52" t="n"/>
      <c r="X410" s="53" t="str">
        <f>IF(AND(L410&lt;&gt;"",IF(ISNUMBER(U410),AND(U410&gt;=1,U410&lt;=10,U410=INT(U410)),FALSE),IF(ISNUMBER(V410),AND(V410&gt;=1,V410&lt;=10,V410=INT(V410)),FALSE),IF(ISNUMBER(W410),AND(W410&gt;=1,W410&lt;=10,W410=INT(W410)),FALSE)),U410*V410*W410,"")</f>
        <v/>
      </c>
      <c r="Y410" s="54" t="str">
        <f>IF(X410="","",IF(OR(U410&gt;=p_gmin,X410&gt;=p_ipr_crit),"Critique",IF(X410&gt;=p_ipr_act,"Élevée",IF(X410&gt;=p_ipr_watch,"Moyenne","Faible"))))</f>
        <v/>
      </c>
      <c r="Z410" s="57" t="str">
        <f>IF(X410="","",(L410-X410)/L410)</f>
        <v/>
      </c>
      <c r="AA410" s="54" t="str">
        <f>IF(AND(D410="",O410=""),"",IF(O410="",IF(N410="Oui","Action à définir",IF(N410="Non","Sans action","")),IF(R410="Annulée","Annulée",IF(R410="Réalisée",IF(X410="","À réévaluer","Réalisée"),IF(N(Q410)=0,"Échéance manquante",IF(Q410&lt;p_today,"En retard",IF(Q410-p_today&lt;=p_alert,"Échéance proche","Dans les délais")))))))</f>
        <v/>
      </c>
      <c r="AB410" s="58" t="str">
        <f>IF(AND(A410="",B410="",D410="",F410="",H410="",K410="",O410=""),"",IF(D410="","Mode de défaillance manquant",IF(AND(A410&lt;&gt;"",COUNTIF(am_num,A410)&gt;1),"N° en double",IF(F410="","Gravité G manquante",IF(NOT(IF(ISNUMBER(F410),AND(F410&gt;=1,F410&lt;=10,F410=INT(F410)),FALSE)),"G : entier de 1 à 10",IF(H410="","Occurrence O manquante",IF(NOT(IF(ISNUMBER(H410),AND(H410&gt;=1,H410&lt;=10,H410=INT(H410)),FALSE)),"O : entier de 1 à 10",IF(K410="","Détection D manquante",IF(NOT(IF(ISNUMBER(K410),AND(K410&gt;=1,K410&lt;=10,K410=INT(K410)),FALSE)),"D : entier de 1 à 10",IF(G410="","Cause manquante",IF(AND(O410&lt;&gt;"",P410=""),"Responsable manquant",IF(AND(R410&lt;&gt;"",O410=""),"Statut sans action",IF(AND(R410="Réalisée",N(S410)=0),"Date de réalisation manquante",IF(AND(T410&lt;&gt;"",IF(ISNUMBER(T410),T410&lt;0,TRUE)),"Coût invalide",IF(AND(COUNTBLANK(U410:W410)&gt;0,COUNTBLANK(U410:W410)&lt;3),"Cotation après action incomplète",IF(AND(COUNTBLANK(U410:W410)=0,X410=""),"G', O', D' : entiers de 1 à 10",IF(AND(X410&lt;&gt;"",X410&gt;L410),"IPR après action plus élevé","OK")))))))))))))))))</f>
        <v/>
      </c>
      <c r="AC410" s="59" t="str">
        <f>IF(OR(AA410="En retard",AA410="Échéance proche",AA410="Dans les délais",AA410="Échéance manquante",AA410="Action à définir",AA410="À réévaluer"),IF(OR(plan_who="",P410=plan_who),IF(N(Q410)&gt;0,Q410,99999)*1000+ROW(),""),"")</f>
        <v/>
      </c>
      <c r="AD410" s="59" t="str">
        <f>IF(L410="","",L410*1000+1000-ROW())</f>
        <v/>
      </c>
      <c r="AE410" s="59" t="str">
        <f>IF(IF(AA410="En retard",1,IF(AA410="Action à définir",2,IF(AA410="Échéance manquante",3,IF(AA410="Échéance proche",4,IF(AA410="À réévaluer",5,0)))))=0,"",IF(AA410="En retard",1,IF(AA410="Action à définir",2,IF(AA410="Échéance manquante",3,IF(AA410="Échéance proche",4,IF(AA410="À réévaluer",5,0)))))*100000000+IF(N(Q410)&gt;0,Q410,99999)*1000+ROW())</f>
        <v/>
      </c>
      <c r="AF410" s="59" t="str">
        <f>IF(X410&lt;&gt;"",X410,L410)</f>
        <v/>
      </c>
      <c r="AG410" s="59" t="str">
        <f>IF(X410&lt;&gt;"",Y410,IF(L410&lt;&gt;"",M410,""))</f>
        <v/>
      </c>
      <c r="AH410" s="59" t="str">
        <f>IF(L410="","",IF(X410&lt;&gt;"",U410,F410))</f>
        <v/>
      </c>
      <c r="AI410" s="59" t="str">
        <f>IF(L410="","",IF(X410&lt;&gt;"",V410,H410))</f>
        <v/>
      </c>
    </row>
    <row r="411" ht="30" customHeight="1">
      <c r="A411" s="50" t="n"/>
      <c r="B411" s="51" t="n"/>
      <c r="C411" s="51" t="n"/>
      <c r="D411" s="51" t="n"/>
      <c r="E411" s="51" t="n"/>
      <c r="F411" s="52" t="n"/>
      <c r="G411" s="51" t="n"/>
      <c r="H411" s="52" t="n"/>
      <c r="I411" s="51" t="n"/>
      <c r="J411" s="51" t="n"/>
      <c r="K411" s="52" t="n"/>
      <c r="L411" s="53" t="str">
        <f>IF(AND(IF(ISNUMBER(F411),AND(F411&gt;=1,F411&lt;=10,F411=INT(F411)),FALSE),IF(ISNUMBER(H411),AND(H411&gt;=1,H411&lt;=10,H411=INT(H411)),FALSE),IF(ISNUMBER(K411),AND(K411&gt;=1,K411&lt;=10,K411=INT(K411)),FALSE)),F411*H411*K411,"")</f>
        <v/>
      </c>
      <c r="M411" s="54" t="str">
        <f>IF(L411="",IF(D411="","","À coter"),IF(OR(F411&gt;=p_gmin,L411&gt;=p_ipr_crit),"Critique",IF(L411&gt;=p_ipr_act,"Élevée",IF(L411&gt;=p_ipr_watch,"Moyenne","Faible"))))</f>
        <v/>
      </c>
      <c r="N411" s="54" t="str">
        <f>IF(OR(M411="",M411="À coter"),"",IF(OR(M411="Critique",M411="Élevée"),"Oui","Non"))</f>
        <v/>
      </c>
      <c r="O411" s="51" t="n"/>
      <c r="P411" s="51" t="n"/>
      <c r="Q411" s="55" t="n"/>
      <c r="R411" s="50" t="n"/>
      <c r="S411" s="55" t="n"/>
      <c r="T411" s="56" t="n"/>
      <c r="U411" s="52" t="n"/>
      <c r="V411" s="52" t="n"/>
      <c r="W411" s="52" t="n"/>
      <c r="X411" s="53" t="str">
        <f>IF(AND(L411&lt;&gt;"",IF(ISNUMBER(U411),AND(U411&gt;=1,U411&lt;=10,U411=INT(U411)),FALSE),IF(ISNUMBER(V411),AND(V411&gt;=1,V411&lt;=10,V411=INT(V411)),FALSE),IF(ISNUMBER(W411),AND(W411&gt;=1,W411&lt;=10,W411=INT(W411)),FALSE)),U411*V411*W411,"")</f>
        <v/>
      </c>
      <c r="Y411" s="54" t="str">
        <f>IF(X411="","",IF(OR(U411&gt;=p_gmin,X411&gt;=p_ipr_crit),"Critique",IF(X411&gt;=p_ipr_act,"Élevée",IF(X411&gt;=p_ipr_watch,"Moyenne","Faible"))))</f>
        <v/>
      </c>
      <c r="Z411" s="57" t="str">
        <f>IF(X411="","",(L411-X411)/L411)</f>
        <v/>
      </c>
      <c r="AA411" s="54" t="str">
        <f>IF(AND(D411="",O411=""),"",IF(O411="",IF(N411="Oui","Action à définir",IF(N411="Non","Sans action","")),IF(R411="Annulée","Annulée",IF(R411="Réalisée",IF(X411="","À réévaluer","Réalisée"),IF(N(Q411)=0,"Échéance manquante",IF(Q411&lt;p_today,"En retard",IF(Q411-p_today&lt;=p_alert,"Échéance proche","Dans les délais")))))))</f>
        <v/>
      </c>
      <c r="AB411" s="58" t="str">
        <f>IF(AND(A411="",B411="",D411="",F411="",H411="",K411="",O411=""),"",IF(D411="","Mode de défaillance manquant",IF(AND(A411&lt;&gt;"",COUNTIF(am_num,A411)&gt;1),"N° en double",IF(F411="","Gravité G manquante",IF(NOT(IF(ISNUMBER(F411),AND(F411&gt;=1,F411&lt;=10,F411=INT(F411)),FALSE)),"G : entier de 1 à 10",IF(H411="","Occurrence O manquante",IF(NOT(IF(ISNUMBER(H411),AND(H411&gt;=1,H411&lt;=10,H411=INT(H411)),FALSE)),"O : entier de 1 à 10",IF(K411="","Détection D manquante",IF(NOT(IF(ISNUMBER(K411),AND(K411&gt;=1,K411&lt;=10,K411=INT(K411)),FALSE)),"D : entier de 1 à 10",IF(G411="","Cause manquante",IF(AND(O411&lt;&gt;"",P411=""),"Responsable manquant",IF(AND(R411&lt;&gt;"",O411=""),"Statut sans action",IF(AND(R411="Réalisée",N(S411)=0),"Date de réalisation manquante",IF(AND(T411&lt;&gt;"",IF(ISNUMBER(T411),T411&lt;0,TRUE)),"Coût invalide",IF(AND(COUNTBLANK(U411:W411)&gt;0,COUNTBLANK(U411:W411)&lt;3),"Cotation après action incomplète",IF(AND(COUNTBLANK(U411:W411)=0,X411=""),"G', O', D' : entiers de 1 à 10",IF(AND(X411&lt;&gt;"",X411&gt;L411),"IPR après action plus élevé","OK")))))))))))))))))</f>
        <v/>
      </c>
      <c r="AC411" s="59" t="str">
        <f>IF(OR(AA411="En retard",AA411="Échéance proche",AA411="Dans les délais",AA411="Échéance manquante",AA411="Action à définir",AA411="À réévaluer"),IF(OR(plan_who="",P411=plan_who),IF(N(Q411)&gt;0,Q411,99999)*1000+ROW(),""),"")</f>
        <v/>
      </c>
      <c r="AD411" s="59" t="str">
        <f>IF(L411="","",L411*1000+1000-ROW())</f>
        <v/>
      </c>
      <c r="AE411" s="59" t="str">
        <f>IF(IF(AA411="En retard",1,IF(AA411="Action à définir",2,IF(AA411="Échéance manquante",3,IF(AA411="Échéance proche",4,IF(AA411="À réévaluer",5,0)))))=0,"",IF(AA411="En retard",1,IF(AA411="Action à définir",2,IF(AA411="Échéance manquante",3,IF(AA411="Échéance proche",4,IF(AA411="À réévaluer",5,0)))))*100000000+IF(N(Q411)&gt;0,Q411,99999)*1000+ROW())</f>
        <v/>
      </c>
      <c r="AF411" s="59" t="str">
        <f>IF(X411&lt;&gt;"",X411,L411)</f>
        <v/>
      </c>
      <c r="AG411" s="59" t="str">
        <f>IF(X411&lt;&gt;"",Y411,IF(L411&lt;&gt;"",M411,""))</f>
        <v/>
      </c>
      <c r="AH411" s="59" t="str">
        <f>IF(L411="","",IF(X411&lt;&gt;"",U411,F411))</f>
        <v/>
      </c>
      <c r="AI411" s="59" t="str">
        <f>IF(L411="","",IF(X411&lt;&gt;"",V411,H411))</f>
        <v/>
      </c>
    </row>
    <row r="412" ht="30" customHeight="1">
      <c r="A412" s="50" t="n"/>
      <c r="B412" s="51" t="n"/>
      <c r="C412" s="51" t="n"/>
      <c r="D412" s="51" t="n"/>
      <c r="E412" s="51" t="n"/>
      <c r="F412" s="52" t="n"/>
      <c r="G412" s="51" t="n"/>
      <c r="H412" s="52" t="n"/>
      <c r="I412" s="51" t="n"/>
      <c r="J412" s="51" t="n"/>
      <c r="K412" s="52" t="n"/>
      <c r="L412" s="53" t="str">
        <f>IF(AND(IF(ISNUMBER(F412),AND(F412&gt;=1,F412&lt;=10,F412=INT(F412)),FALSE),IF(ISNUMBER(H412),AND(H412&gt;=1,H412&lt;=10,H412=INT(H412)),FALSE),IF(ISNUMBER(K412),AND(K412&gt;=1,K412&lt;=10,K412=INT(K412)),FALSE)),F412*H412*K412,"")</f>
        <v/>
      </c>
      <c r="M412" s="54" t="str">
        <f>IF(L412="",IF(D412="","","À coter"),IF(OR(F412&gt;=p_gmin,L412&gt;=p_ipr_crit),"Critique",IF(L412&gt;=p_ipr_act,"Élevée",IF(L412&gt;=p_ipr_watch,"Moyenne","Faible"))))</f>
        <v/>
      </c>
      <c r="N412" s="54" t="str">
        <f>IF(OR(M412="",M412="À coter"),"",IF(OR(M412="Critique",M412="Élevée"),"Oui","Non"))</f>
        <v/>
      </c>
      <c r="O412" s="51" t="n"/>
      <c r="P412" s="51" t="n"/>
      <c r="Q412" s="55" t="n"/>
      <c r="R412" s="50" t="n"/>
      <c r="S412" s="55" t="n"/>
      <c r="T412" s="56" t="n"/>
      <c r="U412" s="52" t="n"/>
      <c r="V412" s="52" t="n"/>
      <c r="W412" s="52" t="n"/>
      <c r="X412" s="53" t="str">
        <f>IF(AND(L412&lt;&gt;"",IF(ISNUMBER(U412),AND(U412&gt;=1,U412&lt;=10,U412=INT(U412)),FALSE),IF(ISNUMBER(V412),AND(V412&gt;=1,V412&lt;=10,V412=INT(V412)),FALSE),IF(ISNUMBER(W412),AND(W412&gt;=1,W412&lt;=10,W412=INT(W412)),FALSE)),U412*V412*W412,"")</f>
        <v/>
      </c>
      <c r="Y412" s="54" t="str">
        <f>IF(X412="","",IF(OR(U412&gt;=p_gmin,X412&gt;=p_ipr_crit),"Critique",IF(X412&gt;=p_ipr_act,"Élevée",IF(X412&gt;=p_ipr_watch,"Moyenne","Faible"))))</f>
        <v/>
      </c>
      <c r="Z412" s="57" t="str">
        <f>IF(X412="","",(L412-X412)/L412)</f>
        <v/>
      </c>
      <c r="AA412" s="54" t="str">
        <f>IF(AND(D412="",O412=""),"",IF(O412="",IF(N412="Oui","Action à définir",IF(N412="Non","Sans action","")),IF(R412="Annulée","Annulée",IF(R412="Réalisée",IF(X412="","À réévaluer","Réalisée"),IF(N(Q412)=0,"Échéance manquante",IF(Q412&lt;p_today,"En retard",IF(Q412-p_today&lt;=p_alert,"Échéance proche","Dans les délais")))))))</f>
        <v/>
      </c>
      <c r="AB412" s="58" t="str">
        <f>IF(AND(A412="",B412="",D412="",F412="",H412="",K412="",O412=""),"",IF(D412="","Mode de défaillance manquant",IF(AND(A412&lt;&gt;"",COUNTIF(am_num,A412)&gt;1),"N° en double",IF(F412="","Gravité G manquante",IF(NOT(IF(ISNUMBER(F412),AND(F412&gt;=1,F412&lt;=10,F412=INT(F412)),FALSE)),"G : entier de 1 à 10",IF(H412="","Occurrence O manquante",IF(NOT(IF(ISNUMBER(H412),AND(H412&gt;=1,H412&lt;=10,H412=INT(H412)),FALSE)),"O : entier de 1 à 10",IF(K412="","Détection D manquante",IF(NOT(IF(ISNUMBER(K412),AND(K412&gt;=1,K412&lt;=10,K412=INT(K412)),FALSE)),"D : entier de 1 à 10",IF(G412="","Cause manquante",IF(AND(O412&lt;&gt;"",P412=""),"Responsable manquant",IF(AND(R412&lt;&gt;"",O412=""),"Statut sans action",IF(AND(R412="Réalisée",N(S412)=0),"Date de réalisation manquante",IF(AND(T412&lt;&gt;"",IF(ISNUMBER(T412),T412&lt;0,TRUE)),"Coût invalide",IF(AND(COUNTBLANK(U412:W412)&gt;0,COUNTBLANK(U412:W412)&lt;3),"Cotation après action incomplète",IF(AND(COUNTBLANK(U412:W412)=0,X412=""),"G', O', D' : entiers de 1 à 10",IF(AND(X412&lt;&gt;"",X412&gt;L412),"IPR après action plus élevé","OK")))))))))))))))))</f>
        <v/>
      </c>
      <c r="AC412" s="59" t="str">
        <f>IF(OR(AA412="En retard",AA412="Échéance proche",AA412="Dans les délais",AA412="Échéance manquante",AA412="Action à définir",AA412="À réévaluer"),IF(OR(plan_who="",P412=plan_who),IF(N(Q412)&gt;0,Q412,99999)*1000+ROW(),""),"")</f>
        <v/>
      </c>
      <c r="AD412" s="59" t="str">
        <f>IF(L412="","",L412*1000+1000-ROW())</f>
        <v/>
      </c>
      <c r="AE412" s="59" t="str">
        <f>IF(IF(AA412="En retard",1,IF(AA412="Action à définir",2,IF(AA412="Échéance manquante",3,IF(AA412="Échéance proche",4,IF(AA412="À réévaluer",5,0)))))=0,"",IF(AA412="En retard",1,IF(AA412="Action à définir",2,IF(AA412="Échéance manquante",3,IF(AA412="Échéance proche",4,IF(AA412="À réévaluer",5,0)))))*100000000+IF(N(Q412)&gt;0,Q412,99999)*1000+ROW())</f>
        <v/>
      </c>
      <c r="AF412" s="59" t="str">
        <f>IF(X412&lt;&gt;"",X412,L412)</f>
        <v/>
      </c>
      <c r="AG412" s="59" t="str">
        <f>IF(X412&lt;&gt;"",Y412,IF(L412&lt;&gt;"",M412,""))</f>
        <v/>
      </c>
      <c r="AH412" s="59" t="str">
        <f>IF(L412="","",IF(X412&lt;&gt;"",U412,F412))</f>
        <v/>
      </c>
      <c r="AI412" s="59" t="str">
        <f>IF(L412="","",IF(X412&lt;&gt;"",V412,H412))</f>
        <v/>
      </c>
    </row>
    <row r="413" ht="30" customHeight="1">
      <c r="A413" s="50" t="n"/>
      <c r="B413" s="51" t="n"/>
      <c r="C413" s="51" t="n"/>
      <c r="D413" s="51" t="n"/>
      <c r="E413" s="51" t="n"/>
      <c r="F413" s="52" t="n"/>
      <c r="G413" s="51" t="n"/>
      <c r="H413" s="52" t="n"/>
      <c r="I413" s="51" t="n"/>
      <c r="J413" s="51" t="n"/>
      <c r="K413" s="52" t="n"/>
      <c r="L413" s="53" t="str">
        <f>IF(AND(IF(ISNUMBER(F413),AND(F413&gt;=1,F413&lt;=10,F413=INT(F413)),FALSE),IF(ISNUMBER(H413),AND(H413&gt;=1,H413&lt;=10,H413=INT(H413)),FALSE),IF(ISNUMBER(K413),AND(K413&gt;=1,K413&lt;=10,K413=INT(K413)),FALSE)),F413*H413*K413,"")</f>
        <v/>
      </c>
      <c r="M413" s="54" t="str">
        <f>IF(L413="",IF(D413="","","À coter"),IF(OR(F413&gt;=p_gmin,L413&gt;=p_ipr_crit),"Critique",IF(L413&gt;=p_ipr_act,"Élevée",IF(L413&gt;=p_ipr_watch,"Moyenne","Faible"))))</f>
        <v/>
      </c>
      <c r="N413" s="54" t="str">
        <f>IF(OR(M413="",M413="À coter"),"",IF(OR(M413="Critique",M413="Élevée"),"Oui","Non"))</f>
        <v/>
      </c>
      <c r="O413" s="51" t="n"/>
      <c r="P413" s="51" t="n"/>
      <c r="Q413" s="55" t="n"/>
      <c r="R413" s="50" t="n"/>
      <c r="S413" s="55" t="n"/>
      <c r="T413" s="56" t="n"/>
      <c r="U413" s="52" t="n"/>
      <c r="V413" s="52" t="n"/>
      <c r="W413" s="52" t="n"/>
      <c r="X413" s="53" t="str">
        <f>IF(AND(L413&lt;&gt;"",IF(ISNUMBER(U413),AND(U413&gt;=1,U413&lt;=10,U413=INT(U413)),FALSE),IF(ISNUMBER(V413),AND(V413&gt;=1,V413&lt;=10,V413=INT(V413)),FALSE),IF(ISNUMBER(W413),AND(W413&gt;=1,W413&lt;=10,W413=INT(W413)),FALSE)),U413*V413*W413,"")</f>
        <v/>
      </c>
      <c r="Y413" s="54" t="str">
        <f>IF(X413="","",IF(OR(U413&gt;=p_gmin,X413&gt;=p_ipr_crit),"Critique",IF(X413&gt;=p_ipr_act,"Élevée",IF(X413&gt;=p_ipr_watch,"Moyenne","Faible"))))</f>
        <v/>
      </c>
      <c r="Z413" s="57" t="str">
        <f>IF(X413="","",(L413-X413)/L413)</f>
        <v/>
      </c>
      <c r="AA413" s="54" t="str">
        <f>IF(AND(D413="",O413=""),"",IF(O413="",IF(N413="Oui","Action à définir",IF(N413="Non","Sans action","")),IF(R413="Annulée","Annulée",IF(R413="Réalisée",IF(X413="","À réévaluer","Réalisée"),IF(N(Q413)=0,"Échéance manquante",IF(Q413&lt;p_today,"En retard",IF(Q413-p_today&lt;=p_alert,"Échéance proche","Dans les délais")))))))</f>
        <v/>
      </c>
      <c r="AB413" s="58" t="str">
        <f>IF(AND(A413="",B413="",D413="",F413="",H413="",K413="",O413=""),"",IF(D413="","Mode de défaillance manquant",IF(AND(A413&lt;&gt;"",COUNTIF(am_num,A413)&gt;1),"N° en double",IF(F413="","Gravité G manquante",IF(NOT(IF(ISNUMBER(F413),AND(F413&gt;=1,F413&lt;=10,F413=INT(F413)),FALSE)),"G : entier de 1 à 10",IF(H413="","Occurrence O manquante",IF(NOT(IF(ISNUMBER(H413),AND(H413&gt;=1,H413&lt;=10,H413=INT(H413)),FALSE)),"O : entier de 1 à 10",IF(K413="","Détection D manquante",IF(NOT(IF(ISNUMBER(K413),AND(K413&gt;=1,K413&lt;=10,K413=INT(K413)),FALSE)),"D : entier de 1 à 10",IF(G413="","Cause manquante",IF(AND(O413&lt;&gt;"",P413=""),"Responsable manquant",IF(AND(R413&lt;&gt;"",O413=""),"Statut sans action",IF(AND(R413="Réalisée",N(S413)=0),"Date de réalisation manquante",IF(AND(T413&lt;&gt;"",IF(ISNUMBER(T413),T413&lt;0,TRUE)),"Coût invalide",IF(AND(COUNTBLANK(U413:W413)&gt;0,COUNTBLANK(U413:W413)&lt;3),"Cotation après action incomplète",IF(AND(COUNTBLANK(U413:W413)=0,X413=""),"G', O', D' : entiers de 1 à 10",IF(AND(X413&lt;&gt;"",X413&gt;L413),"IPR après action plus élevé","OK")))))))))))))))))</f>
        <v/>
      </c>
      <c r="AC413" s="59" t="str">
        <f>IF(OR(AA413="En retard",AA413="Échéance proche",AA413="Dans les délais",AA413="Échéance manquante",AA413="Action à définir",AA413="À réévaluer"),IF(OR(plan_who="",P413=plan_who),IF(N(Q413)&gt;0,Q413,99999)*1000+ROW(),""),"")</f>
        <v/>
      </c>
      <c r="AD413" s="59" t="str">
        <f>IF(L413="","",L413*1000+1000-ROW())</f>
        <v/>
      </c>
      <c r="AE413" s="59" t="str">
        <f>IF(IF(AA413="En retard",1,IF(AA413="Action à définir",2,IF(AA413="Échéance manquante",3,IF(AA413="Échéance proche",4,IF(AA413="À réévaluer",5,0)))))=0,"",IF(AA413="En retard",1,IF(AA413="Action à définir",2,IF(AA413="Échéance manquante",3,IF(AA413="Échéance proche",4,IF(AA413="À réévaluer",5,0)))))*100000000+IF(N(Q413)&gt;0,Q413,99999)*1000+ROW())</f>
        <v/>
      </c>
      <c r="AF413" s="59" t="str">
        <f>IF(X413&lt;&gt;"",X413,L413)</f>
        <v/>
      </c>
      <c r="AG413" s="59" t="str">
        <f>IF(X413&lt;&gt;"",Y413,IF(L413&lt;&gt;"",M413,""))</f>
        <v/>
      </c>
      <c r="AH413" s="59" t="str">
        <f>IF(L413="","",IF(X413&lt;&gt;"",U413,F413))</f>
        <v/>
      </c>
      <c r="AI413" s="59" t="str">
        <f>IF(L413="","",IF(X413&lt;&gt;"",V413,H413))</f>
        <v/>
      </c>
    </row>
    <row r="414" ht="30" customHeight="1">
      <c r="A414" s="50" t="n"/>
      <c r="B414" s="51" t="n"/>
      <c r="C414" s="51" t="n"/>
      <c r="D414" s="51" t="n"/>
      <c r="E414" s="51" t="n"/>
      <c r="F414" s="52" t="n"/>
      <c r="G414" s="51" t="n"/>
      <c r="H414" s="52" t="n"/>
      <c r="I414" s="51" t="n"/>
      <c r="J414" s="51" t="n"/>
      <c r="K414" s="52" t="n"/>
      <c r="L414" s="53" t="str">
        <f>IF(AND(IF(ISNUMBER(F414),AND(F414&gt;=1,F414&lt;=10,F414=INT(F414)),FALSE),IF(ISNUMBER(H414),AND(H414&gt;=1,H414&lt;=10,H414=INT(H414)),FALSE),IF(ISNUMBER(K414),AND(K414&gt;=1,K414&lt;=10,K414=INT(K414)),FALSE)),F414*H414*K414,"")</f>
        <v/>
      </c>
      <c r="M414" s="54" t="str">
        <f>IF(L414="",IF(D414="","","À coter"),IF(OR(F414&gt;=p_gmin,L414&gt;=p_ipr_crit),"Critique",IF(L414&gt;=p_ipr_act,"Élevée",IF(L414&gt;=p_ipr_watch,"Moyenne","Faible"))))</f>
        <v/>
      </c>
      <c r="N414" s="54" t="str">
        <f>IF(OR(M414="",M414="À coter"),"",IF(OR(M414="Critique",M414="Élevée"),"Oui","Non"))</f>
        <v/>
      </c>
      <c r="O414" s="51" t="n"/>
      <c r="P414" s="51" t="n"/>
      <c r="Q414" s="55" t="n"/>
      <c r="R414" s="50" t="n"/>
      <c r="S414" s="55" t="n"/>
      <c r="T414" s="56" t="n"/>
      <c r="U414" s="52" t="n"/>
      <c r="V414" s="52" t="n"/>
      <c r="W414" s="52" t="n"/>
      <c r="X414" s="53" t="str">
        <f>IF(AND(L414&lt;&gt;"",IF(ISNUMBER(U414),AND(U414&gt;=1,U414&lt;=10,U414=INT(U414)),FALSE),IF(ISNUMBER(V414),AND(V414&gt;=1,V414&lt;=10,V414=INT(V414)),FALSE),IF(ISNUMBER(W414),AND(W414&gt;=1,W414&lt;=10,W414=INT(W414)),FALSE)),U414*V414*W414,"")</f>
        <v/>
      </c>
      <c r="Y414" s="54" t="str">
        <f>IF(X414="","",IF(OR(U414&gt;=p_gmin,X414&gt;=p_ipr_crit),"Critique",IF(X414&gt;=p_ipr_act,"Élevée",IF(X414&gt;=p_ipr_watch,"Moyenne","Faible"))))</f>
        <v/>
      </c>
      <c r="Z414" s="57" t="str">
        <f>IF(X414="","",(L414-X414)/L414)</f>
        <v/>
      </c>
      <c r="AA414" s="54" t="str">
        <f>IF(AND(D414="",O414=""),"",IF(O414="",IF(N414="Oui","Action à définir",IF(N414="Non","Sans action","")),IF(R414="Annulée","Annulée",IF(R414="Réalisée",IF(X414="","À réévaluer","Réalisée"),IF(N(Q414)=0,"Échéance manquante",IF(Q414&lt;p_today,"En retard",IF(Q414-p_today&lt;=p_alert,"Échéance proche","Dans les délais")))))))</f>
        <v/>
      </c>
      <c r="AB414" s="58" t="str">
        <f>IF(AND(A414="",B414="",D414="",F414="",H414="",K414="",O414=""),"",IF(D414="","Mode de défaillance manquant",IF(AND(A414&lt;&gt;"",COUNTIF(am_num,A414)&gt;1),"N° en double",IF(F414="","Gravité G manquante",IF(NOT(IF(ISNUMBER(F414),AND(F414&gt;=1,F414&lt;=10,F414=INT(F414)),FALSE)),"G : entier de 1 à 10",IF(H414="","Occurrence O manquante",IF(NOT(IF(ISNUMBER(H414),AND(H414&gt;=1,H414&lt;=10,H414=INT(H414)),FALSE)),"O : entier de 1 à 10",IF(K414="","Détection D manquante",IF(NOT(IF(ISNUMBER(K414),AND(K414&gt;=1,K414&lt;=10,K414=INT(K414)),FALSE)),"D : entier de 1 à 10",IF(G414="","Cause manquante",IF(AND(O414&lt;&gt;"",P414=""),"Responsable manquant",IF(AND(R414&lt;&gt;"",O414=""),"Statut sans action",IF(AND(R414="Réalisée",N(S414)=0),"Date de réalisation manquante",IF(AND(T414&lt;&gt;"",IF(ISNUMBER(T414),T414&lt;0,TRUE)),"Coût invalide",IF(AND(COUNTBLANK(U414:W414)&gt;0,COUNTBLANK(U414:W414)&lt;3),"Cotation après action incomplète",IF(AND(COUNTBLANK(U414:W414)=0,X414=""),"G', O', D' : entiers de 1 à 10",IF(AND(X414&lt;&gt;"",X414&gt;L414),"IPR après action plus élevé","OK")))))))))))))))))</f>
        <v/>
      </c>
      <c r="AC414" s="59" t="str">
        <f>IF(OR(AA414="En retard",AA414="Échéance proche",AA414="Dans les délais",AA414="Échéance manquante",AA414="Action à définir",AA414="À réévaluer"),IF(OR(plan_who="",P414=plan_who),IF(N(Q414)&gt;0,Q414,99999)*1000+ROW(),""),"")</f>
        <v/>
      </c>
      <c r="AD414" s="59" t="str">
        <f>IF(L414="","",L414*1000+1000-ROW())</f>
        <v/>
      </c>
      <c r="AE414" s="59" t="str">
        <f>IF(IF(AA414="En retard",1,IF(AA414="Action à définir",2,IF(AA414="Échéance manquante",3,IF(AA414="Échéance proche",4,IF(AA414="À réévaluer",5,0)))))=0,"",IF(AA414="En retard",1,IF(AA414="Action à définir",2,IF(AA414="Échéance manquante",3,IF(AA414="Échéance proche",4,IF(AA414="À réévaluer",5,0)))))*100000000+IF(N(Q414)&gt;0,Q414,99999)*1000+ROW())</f>
        <v/>
      </c>
      <c r="AF414" s="59" t="str">
        <f>IF(X414&lt;&gt;"",X414,L414)</f>
        <v/>
      </c>
      <c r="AG414" s="59" t="str">
        <f>IF(X414&lt;&gt;"",Y414,IF(L414&lt;&gt;"",M414,""))</f>
        <v/>
      </c>
      <c r="AH414" s="59" t="str">
        <f>IF(L414="","",IF(X414&lt;&gt;"",U414,F414))</f>
        <v/>
      </c>
      <c r="AI414" s="59" t="str">
        <f>IF(L414="","",IF(X414&lt;&gt;"",V414,H414))</f>
        <v/>
      </c>
    </row>
    <row r="415" ht="30" customHeight="1">
      <c r="A415" s="50" t="n"/>
      <c r="B415" s="51" t="n"/>
      <c r="C415" s="51" t="n"/>
      <c r="D415" s="51" t="n"/>
      <c r="E415" s="51" t="n"/>
      <c r="F415" s="52" t="n"/>
      <c r="G415" s="51" t="n"/>
      <c r="H415" s="52" t="n"/>
      <c r="I415" s="51" t="n"/>
      <c r="J415" s="51" t="n"/>
      <c r="K415" s="52" t="n"/>
      <c r="L415" s="53" t="str">
        <f>IF(AND(IF(ISNUMBER(F415),AND(F415&gt;=1,F415&lt;=10,F415=INT(F415)),FALSE),IF(ISNUMBER(H415),AND(H415&gt;=1,H415&lt;=10,H415=INT(H415)),FALSE),IF(ISNUMBER(K415),AND(K415&gt;=1,K415&lt;=10,K415=INT(K415)),FALSE)),F415*H415*K415,"")</f>
        <v/>
      </c>
      <c r="M415" s="54" t="str">
        <f>IF(L415="",IF(D415="","","À coter"),IF(OR(F415&gt;=p_gmin,L415&gt;=p_ipr_crit),"Critique",IF(L415&gt;=p_ipr_act,"Élevée",IF(L415&gt;=p_ipr_watch,"Moyenne","Faible"))))</f>
        <v/>
      </c>
      <c r="N415" s="54" t="str">
        <f>IF(OR(M415="",M415="À coter"),"",IF(OR(M415="Critique",M415="Élevée"),"Oui","Non"))</f>
        <v/>
      </c>
      <c r="O415" s="51" t="n"/>
      <c r="P415" s="51" t="n"/>
      <c r="Q415" s="55" t="n"/>
      <c r="R415" s="50" t="n"/>
      <c r="S415" s="55" t="n"/>
      <c r="T415" s="56" t="n"/>
      <c r="U415" s="52" t="n"/>
      <c r="V415" s="52" t="n"/>
      <c r="W415" s="52" t="n"/>
      <c r="X415" s="53" t="str">
        <f>IF(AND(L415&lt;&gt;"",IF(ISNUMBER(U415),AND(U415&gt;=1,U415&lt;=10,U415=INT(U415)),FALSE),IF(ISNUMBER(V415),AND(V415&gt;=1,V415&lt;=10,V415=INT(V415)),FALSE),IF(ISNUMBER(W415),AND(W415&gt;=1,W415&lt;=10,W415=INT(W415)),FALSE)),U415*V415*W415,"")</f>
        <v/>
      </c>
      <c r="Y415" s="54" t="str">
        <f>IF(X415="","",IF(OR(U415&gt;=p_gmin,X415&gt;=p_ipr_crit),"Critique",IF(X415&gt;=p_ipr_act,"Élevée",IF(X415&gt;=p_ipr_watch,"Moyenne","Faible"))))</f>
        <v/>
      </c>
      <c r="Z415" s="57" t="str">
        <f>IF(X415="","",(L415-X415)/L415)</f>
        <v/>
      </c>
      <c r="AA415" s="54" t="str">
        <f>IF(AND(D415="",O415=""),"",IF(O415="",IF(N415="Oui","Action à définir",IF(N415="Non","Sans action","")),IF(R415="Annulée","Annulée",IF(R415="Réalisée",IF(X415="","À réévaluer","Réalisée"),IF(N(Q415)=0,"Échéance manquante",IF(Q415&lt;p_today,"En retard",IF(Q415-p_today&lt;=p_alert,"Échéance proche","Dans les délais")))))))</f>
        <v/>
      </c>
      <c r="AB415" s="58" t="str">
        <f>IF(AND(A415="",B415="",D415="",F415="",H415="",K415="",O415=""),"",IF(D415="","Mode de défaillance manquant",IF(AND(A415&lt;&gt;"",COUNTIF(am_num,A415)&gt;1),"N° en double",IF(F415="","Gravité G manquante",IF(NOT(IF(ISNUMBER(F415),AND(F415&gt;=1,F415&lt;=10,F415=INT(F415)),FALSE)),"G : entier de 1 à 10",IF(H415="","Occurrence O manquante",IF(NOT(IF(ISNUMBER(H415),AND(H415&gt;=1,H415&lt;=10,H415=INT(H415)),FALSE)),"O : entier de 1 à 10",IF(K415="","Détection D manquante",IF(NOT(IF(ISNUMBER(K415),AND(K415&gt;=1,K415&lt;=10,K415=INT(K415)),FALSE)),"D : entier de 1 à 10",IF(G415="","Cause manquante",IF(AND(O415&lt;&gt;"",P415=""),"Responsable manquant",IF(AND(R415&lt;&gt;"",O415=""),"Statut sans action",IF(AND(R415="Réalisée",N(S415)=0),"Date de réalisation manquante",IF(AND(T415&lt;&gt;"",IF(ISNUMBER(T415),T415&lt;0,TRUE)),"Coût invalide",IF(AND(COUNTBLANK(U415:W415)&gt;0,COUNTBLANK(U415:W415)&lt;3),"Cotation après action incomplète",IF(AND(COUNTBLANK(U415:W415)=0,X415=""),"G', O', D' : entiers de 1 à 10",IF(AND(X415&lt;&gt;"",X415&gt;L415),"IPR après action plus élevé","OK")))))))))))))))))</f>
        <v/>
      </c>
      <c r="AC415" s="59" t="str">
        <f>IF(OR(AA415="En retard",AA415="Échéance proche",AA415="Dans les délais",AA415="Échéance manquante",AA415="Action à définir",AA415="À réévaluer"),IF(OR(plan_who="",P415=plan_who),IF(N(Q415)&gt;0,Q415,99999)*1000+ROW(),""),"")</f>
        <v/>
      </c>
      <c r="AD415" s="59" t="str">
        <f>IF(L415="","",L415*1000+1000-ROW())</f>
        <v/>
      </c>
      <c r="AE415" s="59" t="str">
        <f>IF(IF(AA415="En retard",1,IF(AA415="Action à définir",2,IF(AA415="Échéance manquante",3,IF(AA415="Échéance proche",4,IF(AA415="À réévaluer",5,0)))))=0,"",IF(AA415="En retard",1,IF(AA415="Action à définir",2,IF(AA415="Échéance manquante",3,IF(AA415="Échéance proche",4,IF(AA415="À réévaluer",5,0)))))*100000000+IF(N(Q415)&gt;0,Q415,99999)*1000+ROW())</f>
        <v/>
      </c>
      <c r="AF415" s="59" t="str">
        <f>IF(X415&lt;&gt;"",X415,L415)</f>
        <v/>
      </c>
      <c r="AG415" s="59" t="str">
        <f>IF(X415&lt;&gt;"",Y415,IF(L415&lt;&gt;"",M415,""))</f>
        <v/>
      </c>
      <c r="AH415" s="59" t="str">
        <f>IF(L415="","",IF(X415&lt;&gt;"",U415,F415))</f>
        <v/>
      </c>
      <c r="AI415" s="59" t="str">
        <f>IF(L415="","",IF(X415&lt;&gt;"",V415,H415))</f>
        <v/>
      </c>
    </row>
    <row r="416" ht="30" customHeight="1">
      <c r="A416" s="50" t="n"/>
      <c r="B416" s="51" t="n"/>
      <c r="C416" s="51" t="n"/>
      <c r="D416" s="51" t="n"/>
      <c r="E416" s="51" t="n"/>
      <c r="F416" s="52" t="n"/>
      <c r="G416" s="51" t="n"/>
      <c r="H416" s="52" t="n"/>
      <c r="I416" s="51" t="n"/>
      <c r="J416" s="51" t="n"/>
      <c r="K416" s="52" t="n"/>
      <c r="L416" s="53" t="str">
        <f>IF(AND(IF(ISNUMBER(F416),AND(F416&gt;=1,F416&lt;=10,F416=INT(F416)),FALSE),IF(ISNUMBER(H416),AND(H416&gt;=1,H416&lt;=10,H416=INT(H416)),FALSE),IF(ISNUMBER(K416),AND(K416&gt;=1,K416&lt;=10,K416=INT(K416)),FALSE)),F416*H416*K416,"")</f>
        <v/>
      </c>
      <c r="M416" s="54" t="str">
        <f>IF(L416="",IF(D416="","","À coter"),IF(OR(F416&gt;=p_gmin,L416&gt;=p_ipr_crit),"Critique",IF(L416&gt;=p_ipr_act,"Élevée",IF(L416&gt;=p_ipr_watch,"Moyenne","Faible"))))</f>
        <v/>
      </c>
      <c r="N416" s="54" t="str">
        <f>IF(OR(M416="",M416="À coter"),"",IF(OR(M416="Critique",M416="Élevée"),"Oui","Non"))</f>
        <v/>
      </c>
      <c r="O416" s="51" t="n"/>
      <c r="P416" s="51" t="n"/>
      <c r="Q416" s="55" t="n"/>
      <c r="R416" s="50" t="n"/>
      <c r="S416" s="55" t="n"/>
      <c r="T416" s="56" t="n"/>
      <c r="U416" s="52" t="n"/>
      <c r="V416" s="52" t="n"/>
      <c r="W416" s="52" t="n"/>
      <c r="X416" s="53" t="str">
        <f>IF(AND(L416&lt;&gt;"",IF(ISNUMBER(U416),AND(U416&gt;=1,U416&lt;=10,U416=INT(U416)),FALSE),IF(ISNUMBER(V416),AND(V416&gt;=1,V416&lt;=10,V416=INT(V416)),FALSE),IF(ISNUMBER(W416),AND(W416&gt;=1,W416&lt;=10,W416=INT(W416)),FALSE)),U416*V416*W416,"")</f>
        <v/>
      </c>
      <c r="Y416" s="54" t="str">
        <f>IF(X416="","",IF(OR(U416&gt;=p_gmin,X416&gt;=p_ipr_crit),"Critique",IF(X416&gt;=p_ipr_act,"Élevée",IF(X416&gt;=p_ipr_watch,"Moyenne","Faible"))))</f>
        <v/>
      </c>
      <c r="Z416" s="57" t="str">
        <f>IF(X416="","",(L416-X416)/L416)</f>
        <v/>
      </c>
      <c r="AA416" s="54" t="str">
        <f>IF(AND(D416="",O416=""),"",IF(O416="",IF(N416="Oui","Action à définir",IF(N416="Non","Sans action","")),IF(R416="Annulée","Annulée",IF(R416="Réalisée",IF(X416="","À réévaluer","Réalisée"),IF(N(Q416)=0,"Échéance manquante",IF(Q416&lt;p_today,"En retard",IF(Q416-p_today&lt;=p_alert,"Échéance proche","Dans les délais")))))))</f>
        <v/>
      </c>
      <c r="AB416" s="58" t="str">
        <f>IF(AND(A416="",B416="",D416="",F416="",H416="",K416="",O416=""),"",IF(D416="","Mode de défaillance manquant",IF(AND(A416&lt;&gt;"",COUNTIF(am_num,A416)&gt;1),"N° en double",IF(F416="","Gravité G manquante",IF(NOT(IF(ISNUMBER(F416),AND(F416&gt;=1,F416&lt;=10,F416=INT(F416)),FALSE)),"G : entier de 1 à 10",IF(H416="","Occurrence O manquante",IF(NOT(IF(ISNUMBER(H416),AND(H416&gt;=1,H416&lt;=10,H416=INT(H416)),FALSE)),"O : entier de 1 à 10",IF(K416="","Détection D manquante",IF(NOT(IF(ISNUMBER(K416),AND(K416&gt;=1,K416&lt;=10,K416=INT(K416)),FALSE)),"D : entier de 1 à 10",IF(G416="","Cause manquante",IF(AND(O416&lt;&gt;"",P416=""),"Responsable manquant",IF(AND(R416&lt;&gt;"",O416=""),"Statut sans action",IF(AND(R416="Réalisée",N(S416)=0),"Date de réalisation manquante",IF(AND(T416&lt;&gt;"",IF(ISNUMBER(T416),T416&lt;0,TRUE)),"Coût invalide",IF(AND(COUNTBLANK(U416:W416)&gt;0,COUNTBLANK(U416:W416)&lt;3),"Cotation après action incomplète",IF(AND(COUNTBLANK(U416:W416)=0,X416=""),"G', O', D' : entiers de 1 à 10",IF(AND(X416&lt;&gt;"",X416&gt;L416),"IPR après action plus élevé","OK")))))))))))))))))</f>
        <v/>
      </c>
      <c r="AC416" s="59" t="str">
        <f>IF(OR(AA416="En retard",AA416="Échéance proche",AA416="Dans les délais",AA416="Échéance manquante",AA416="Action à définir",AA416="À réévaluer"),IF(OR(plan_who="",P416=plan_who),IF(N(Q416)&gt;0,Q416,99999)*1000+ROW(),""),"")</f>
        <v/>
      </c>
      <c r="AD416" s="59" t="str">
        <f>IF(L416="","",L416*1000+1000-ROW())</f>
        <v/>
      </c>
      <c r="AE416" s="59" t="str">
        <f>IF(IF(AA416="En retard",1,IF(AA416="Action à définir",2,IF(AA416="Échéance manquante",3,IF(AA416="Échéance proche",4,IF(AA416="À réévaluer",5,0)))))=0,"",IF(AA416="En retard",1,IF(AA416="Action à définir",2,IF(AA416="Échéance manquante",3,IF(AA416="Échéance proche",4,IF(AA416="À réévaluer",5,0)))))*100000000+IF(N(Q416)&gt;0,Q416,99999)*1000+ROW())</f>
        <v/>
      </c>
      <c r="AF416" s="59" t="str">
        <f>IF(X416&lt;&gt;"",X416,L416)</f>
        <v/>
      </c>
      <c r="AG416" s="59" t="str">
        <f>IF(X416&lt;&gt;"",Y416,IF(L416&lt;&gt;"",M416,""))</f>
        <v/>
      </c>
      <c r="AH416" s="59" t="str">
        <f>IF(L416="","",IF(X416&lt;&gt;"",U416,F416))</f>
        <v/>
      </c>
      <c r="AI416" s="59" t="str">
        <f>IF(L416="","",IF(X416&lt;&gt;"",V416,H416))</f>
        <v/>
      </c>
    </row>
    <row r="417" ht="30" customHeight="1">
      <c r="A417" s="50" t="n"/>
      <c r="B417" s="51" t="n"/>
      <c r="C417" s="51" t="n"/>
      <c r="D417" s="51" t="n"/>
      <c r="E417" s="51" t="n"/>
      <c r="F417" s="52" t="n"/>
      <c r="G417" s="51" t="n"/>
      <c r="H417" s="52" t="n"/>
      <c r="I417" s="51" t="n"/>
      <c r="J417" s="51" t="n"/>
      <c r="K417" s="52" t="n"/>
      <c r="L417" s="53" t="str">
        <f>IF(AND(IF(ISNUMBER(F417),AND(F417&gt;=1,F417&lt;=10,F417=INT(F417)),FALSE),IF(ISNUMBER(H417),AND(H417&gt;=1,H417&lt;=10,H417=INT(H417)),FALSE),IF(ISNUMBER(K417),AND(K417&gt;=1,K417&lt;=10,K417=INT(K417)),FALSE)),F417*H417*K417,"")</f>
        <v/>
      </c>
      <c r="M417" s="54" t="str">
        <f>IF(L417="",IF(D417="","","À coter"),IF(OR(F417&gt;=p_gmin,L417&gt;=p_ipr_crit),"Critique",IF(L417&gt;=p_ipr_act,"Élevée",IF(L417&gt;=p_ipr_watch,"Moyenne","Faible"))))</f>
        <v/>
      </c>
      <c r="N417" s="54" t="str">
        <f>IF(OR(M417="",M417="À coter"),"",IF(OR(M417="Critique",M417="Élevée"),"Oui","Non"))</f>
        <v/>
      </c>
      <c r="O417" s="51" t="n"/>
      <c r="P417" s="51" t="n"/>
      <c r="Q417" s="55" t="n"/>
      <c r="R417" s="50" t="n"/>
      <c r="S417" s="55" t="n"/>
      <c r="T417" s="56" t="n"/>
      <c r="U417" s="52" t="n"/>
      <c r="V417" s="52" t="n"/>
      <c r="W417" s="52" t="n"/>
      <c r="X417" s="53" t="str">
        <f>IF(AND(L417&lt;&gt;"",IF(ISNUMBER(U417),AND(U417&gt;=1,U417&lt;=10,U417=INT(U417)),FALSE),IF(ISNUMBER(V417),AND(V417&gt;=1,V417&lt;=10,V417=INT(V417)),FALSE),IF(ISNUMBER(W417),AND(W417&gt;=1,W417&lt;=10,W417=INT(W417)),FALSE)),U417*V417*W417,"")</f>
        <v/>
      </c>
      <c r="Y417" s="54" t="str">
        <f>IF(X417="","",IF(OR(U417&gt;=p_gmin,X417&gt;=p_ipr_crit),"Critique",IF(X417&gt;=p_ipr_act,"Élevée",IF(X417&gt;=p_ipr_watch,"Moyenne","Faible"))))</f>
        <v/>
      </c>
      <c r="Z417" s="57" t="str">
        <f>IF(X417="","",(L417-X417)/L417)</f>
        <v/>
      </c>
      <c r="AA417" s="54" t="str">
        <f>IF(AND(D417="",O417=""),"",IF(O417="",IF(N417="Oui","Action à définir",IF(N417="Non","Sans action","")),IF(R417="Annulée","Annulée",IF(R417="Réalisée",IF(X417="","À réévaluer","Réalisée"),IF(N(Q417)=0,"Échéance manquante",IF(Q417&lt;p_today,"En retard",IF(Q417-p_today&lt;=p_alert,"Échéance proche","Dans les délais")))))))</f>
        <v/>
      </c>
      <c r="AB417" s="58" t="str">
        <f>IF(AND(A417="",B417="",D417="",F417="",H417="",K417="",O417=""),"",IF(D417="","Mode de défaillance manquant",IF(AND(A417&lt;&gt;"",COUNTIF(am_num,A417)&gt;1),"N° en double",IF(F417="","Gravité G manquante",IF(NOT(IF(ISNUMBER(F417),AND(F417&gt;=1,F417&lt;=10,F417=INT(F417)),FALSE)),"G : entier de 1 à 10",IF(H417="","Occurrence O manquante",IF(NOT(IF(ISNUMBER(H417),AND(H417&gt;=1,H417&lt;=10,H417=INT(H417)),FALSE)),"O : entier de 1 à 10",IF(K417="","Détection D manquante",IF(NOT(IF(ISNUMBER(K417),AND(K417&gt;=1,K417&lt;=10,K417=INT(K417)),FALSE)),"D : entier de 1 à 10",IF(G417="","Cause manquante",IF(AND(O417&lt;&gt;"",P417=""),"Responsable manquant",IF(AND(R417&lt;&gt;"",O417=""),"Statut sans action",IF(AND(R417="Réalisée",N(S417)=0),"Date de réalisation manquante",IF(AND(T417&lt;&gt;"",IF(ISNUMBER(T417),T417&lt;0,TRUE)),"Coût invalide",IF(AND(COUNTBLANK(U417:W417)&gt;0,COUNTBLANK(U417:W417)&lt;3),"Cotation après action incomplète",IF(AND(COUNTBLANK(U417:W417)=0,X417=""),"G', O', D' : entiers de 1 à 10",IF(AND(X417&lt;&gt;"",X417&gt;L417),"IPR après action plus élevé","OK")))))))))))))))))</f>
        <v/>
      </c>
      <c r="AC417" s="59" t="str">
        <f>IF(OR(AA417="En retard",AA417="Échéance proche",AA417="Dans les délais",AA417="Échéance manquante",AA417="Action à définir",AA417="À réévaluer"),IF(OR(plan_who="",P417=plan_who),IF(N(Q417)&gt;0,Q417,99999)*1000+ROW(),""),"")</f>
        <v/>
      </c>
      <c r="AD417" s="59" t="str">
        <f>IF(L417="","",L417*1000+1000-ROW())</f>
        <v/>
      </c>
      <c r="AE417" s="59" t="str">
        <f>IF(IF(AA417="En retard",1,IF(AA417="Action à définir",2,IF(AA417="Échéance manquante",3,IF(AA417="Échéance proche",4,IF(AA417="À réévaluer",5,0)))))=0,"",IF(AA417="En retard",1,IF(AA417="Action à définir",2,IF(AA417="Échéance manquante",3,IF(AA417="Échéance proche",4,IF(AA417="À réévaluer",5,0)))))*100000000+IF(N(Q417)&gt;0,Q417,99999)*1000+ROW())</f>
        <v/>
      </c>
      <c r="AF417" s="59" t="str">
        <f>IF(X417&lt;&gt;"",X417,L417)</f>
        <v/>
      </c>
      <c r="AG417" s="59" t="str">
        <f>IF(X417&lt;&gt;"",Y417,IF(L417&lt;&gt;"",M417,""))</f>
        <v/>
      </c>
      <c r="AH417" s="59" t="str">
        <f>IF(L417="","",IF(X417&lt;&gt;"",U417,F417))</f>
        <v/>
      </c>
      <c r="AI417" s="59" t="str">
        <f>IF(L417="","",IF(X417&lt;&gt;"",V417,H417))</f>
        <v/>
      </c>
    </row>
    <row r="418" ht="30" customHeight="1">
      <c r="A418" s="50" t="n"/>
      <c r="B418" s="51" t="n"/>
      <c r="C418" s="51" t="n"/>
      <c r="D418" s="51" t="n"/>
      <c r="E418" s="51" t="n"/>
      <c r="F418" s="52" t="n"/>
      <c r="G418" s="51" t="n"/>
      <c r="H418" s="52" t="n"/>
      <c r="I418" s="51" t="n"/>
      <c r="J418" s="51" t="n"/>
      <c r="K418" s="52" t="n"/>
      <c r="L418" s="53" t="str">
        <f>IF(AND(IF(ISNUMBER(F418),AND(F418&gt;=1,F418&lt;=10,F418=INT(F418)),FALSE),IF(ISNUMBER(H418),AND(H418&gt;=1,H418&lt;=10,H418=INT(H418)),FALSE),IF(ISNUMBER(K418),AND(K418&gt;=1,K418&lt;=10,K418=INT(K418)),FALSE)),F418*H418*K418,"")</f>
        <v/>
      </c>
      <c r="M418" s="54" t="str">
        <f>IF(L418="",IF(D418="","","À coter"),IF(OR(F418&gt;=p_gmin,L418&gt;=p_ipr_crit),"Critique",IF(L418&gt;=p_ipr_act,"Élevée",IF(L418&gt;=p_ipr_watch,"Moyenne","Faible"))))</f>
        <v/>
      </c>
      <c r="N418" s="54" t="str">
        <f>IF(OR(M418="",M418="À coter"),"",IF(OR(M418="Critique",M418="Élevée"),"Oui","Non"))</f>
        <v/>
      </c>
      <c r="O418" s="51" t="n"/>
      <c r="P418" s="51" t="n"/>
      <c r="Q418" s="55" t="n"/>
      <c r="R418" s="50" t="n"/>
      <c r="S418" s="55" t="n"/>
      <c r="T418" s="56" t="n"/>
      <c r="U418" s="52" t="n"/>
      <c r="V418" s="52" t="n"/>
      <c r="W418" s="52" t="n"/>
      <c r="X418" s="53" t="str">
        <f>IF(AND(L418&lt;&gt;"",IF(ISNUMBER(U418),AND(U418&gt;=1,U418&lt;=10,U418=INT(U418)),FALSE),IF(ISNUMBER(V418),AND(V418&gt;=1,V418&lt;=10,V418=INT(V418)),FALSE),IF(ISNUMBER(W418),AND(W418&gt;=1,W418&lt;=10,W418=INT(W418)),FALSE)),U418*V418*W418,"")</f>
        <v/>
      </c>
      <c r="Y418" s="54" t="str">
        <f>IF(X418="","",IF(OR(U418&gt;=p_gmin,X418&gt;=p_ipr_crit),"Critique",IF(X418&gt;=p_ipr_act,"Élevée",IF(X418&gt;=p_ipr_watch,"Moyenne","Faible"))))</f>
        <v/>
      </c>
      <c r="Z418" s="57" t="str">
        <f>IF(X418="","",(L418-X418)/L418)</f>
        <v/>
      </c>
      <c r="AA418" s="54" t="str">
        <f>IF(AND(D418="",O418=""),"",IF(O418="",IF(N418="Oui","Action à définir",IF(N418="Non","Sans action","")),IF(R418="Annulée","Annulée",IF(R418="Réalisée",IF(X418="","À réévaluer","Réalisée"),IF(N(Q418)=0,"Échéance manquante",IF(Q418&lt;p_today,"En retard",IF(Q418-p_today&lt;=p_alert,"Échéance proche","Dans les délais")))))))</f>
        <v/>
      </c>
      <c r="AB418" s="58" t="str">
        <f>IF(AND(A418="",B418="",D418="",F418="",H418="",K418="",O418=""),"",IF(D418="","Mode de défaillance manquant",IF(AND(A418&lt;&gt;"",COUNTIF(am_num,A418)&gt;1),"N° en double",IF(F418="","Gravité G manquante",IF(NOT(IF(ISNUMBER(F418),AND(F418&gt;=1,F418&lt;=10,F418=INT(F418)),FALSE)),"G : entier de 1 à 10",IF(H418="","Occurrence O manquante",IF(NOT(IF(ISNUMBER(H418),AND(H418&gt;=1,H418&lt;=10,H418=INT(H418)),FALSE)),"O : entier de 1 à 10",IF(K418="","Détection D manquante",IF(NOT(IF(ISNUMBER(K418),AND(K418&gt;=1,K418&lt;=10,K418=INT(K418)),FALSE)),"D : entier de 1 à 10",IF(G418="","Cause manquante",IF(AND(O418&lt;&gt;"",P418=""),"Responsable manquant",IF(AND(R418&lt;&gt;"",O418=""),"Statut sans action",IF(AND(R418="Réalisée",N(S418)=0),"Date de réalisation manquante",IF(AND(T418&lt;&gt;"",IF(ISNUMBER(T418),T418&lt;0,TRUE)),"Coût invalide",IF(AND(COUNTBLANK(U418:W418)&gt;0,COUNTBLANK(U418:W418)&lt;3),"Cotation après action incomplète",IF(AND(COUNTBLANK(U418:W418)=0,X418=""),"G', O', D' : entiers de 1 à 10",IF(AND(X418&lt;&gt;"",X418&gt;L418),"IPR après action plus élevé","OK")))))))))))))))))</f>
        <v/>
      </c>
      <c r="AC418" s="59" t="str">
        <f>IF(OR(AA418="En retard",AA418="Échéance proche",AA418="Dans les délais",AA418="Échéance manquante",AA418="Action à définir",AA418="À réévaluer"),IF(OR(plan_who="",P418=plan_who),IF(N(Q418)&gt;0,Q418,99999)*1000+ROW(),""),"")</f>
        <v/>
      </c>
      <c r="AD418" s="59" t="str">
        <f>IF(L418="","",L418*1000+1000-ROW())</f>
        <v/>
      </c>
      <c r="AE418" s="59" t="str">
        <f>IF(IF(AA418="En retard",1,IF(AA418="Action à définir",2,IF(AA418="Échéance manquante",3,IF(AA418="Échéance proche",4,IF(AA418="À réévaluer",5,0)))))=0,"",IF(AA418="En retard",1,IF(AA418="Action à définir",2,IF(AA418="Échéance manquante",3,IF(AA418="Échéance proche",4,IF(AA418="À réévaluer",5,0)))))*100000000+IF(N(Q418)&gt;0,Q418,99999)*1000+ROW())</f>
        <v/>
      </c>
      <c r="AF418" s="59" t="str">
        <f>IF(X418&lt;&gt;"",X418,L418)</f>
        <v/>
      </c>
      <c r="AG418" s="59" t="str">
        <f>IF(X418&lt;&gt;"",Y418,IF(L418&lt;&gt;"",M418,""))</f>
        <v/>
      </c>
      <c r="AH418" s="59" t="str">
        <f>IF(L418="","",IF(X418&lt;&gt;"",U418,F418))</f>
        <v/>
      </c>
      <c r="AI418" s="59" t="str">
        <f>IF(L418="","",IF(X418&lt;&gt;"",V418,H418))</f>
        <v/>
      </c>
    </row>
    <row r="419" ht="30" customHeight="1">
      <c r="A419" s="50" t="n"/>
      <c r="B419" s="51" t="n"/>
      <c r="C419" s="51" t="n"/>
      <c r="D419" s="51" t="n"/>
      <c r="E419" s="51" t="n"/>
      <c r="F419" s="52" t="n"/>
      <c r="G419" s="51" t="n"/>
      <c r="H419" s="52" t="n"/>
      <c r="I419" s="51" t="n"/>
      <c r="J419" s="51" t="n"/>
      <c r="K419" s="52" t="n"/>
      <c r="L419" s="53" t="str">
        <f>IF(AND(IF(ISNUMBER(F419),AND(F419&gt;=1,F419&lt;=10,F419=INT(F419)),FALSE),IF(ISNUMBER(H419),AND(H419&gt;=1,H419&lt;=10,H419=INT(H419)),FALSE),IF(ISNUMBER(K419),AND(K419&gt;=1,K419&lt;=10,K419=INT(K419)),FALSE)),F419*H419*K419,"")</f>
        <v/>
      </c>
      <c r="M419" s="54" t="str">
        <f>IF(L419="",IF(D419="","","À coter"),IF(OR(F419&gt;=p_gmin,L419&gt;=p_ipr_crit),"Critique",IF(L419&gt;=p_ipr_act,"Élevée",IF(L419&gt;=p_ipr_watch,"Moyenne","Faible"))))</f>
        <v/>
      </c>
      <c r="N419" s="54" t="str">
        <f>IF(OR(M419="",M419="À coter"),"",IF(OR(M419="Critique",M419="Élevée"),"Oui","Non"))</f>
        <v/>
      </c>
      <c r="O419" s="51" t="n"/>
      <c r="P419" s="51" t="n"/>
      <c r="Q419" s="55" t="n"/>
      <c r="R419" s="50" t="n"/>
      <c r="S419" s="55" t="n"/>
      <c r="T419" s="56" t="n"/>
      <c r="U419" s="52" t="n"/>
      <c r="V419" s="52" t="n"/>
      <c r="W419" s="52" t="n"/>
      <c r="X419" s="53" t="str">
        <f>IF(AND(L419&lt;&gt;"",IF(ISNUMBER(U419),AND(U419&gt;=1,U419&lt;=10,U419=INT(U419)),FALSE),IF(ISNUMBER(V419),AND(V419&gt;=1,V419&lt;=10,V419=INT(V419)),FALSE),IF(ISNUMBER(W419),AND(W419&gt;=1,W419&lt;=10,W419=INT(W419)),FALSE)),U419*V419*W419,"")</f>
        <v/>
      </c>
      <c r="Y419" s="54" t="str">
        <f>IF(X419="","",IF(OR(U419&gt;=p_gmin,X419&gt;=p_ipr_crit),"Critique",IF(X419&gt;=p_ipr_act,"Élevée",IF(X419&gt;=p_ipr_watch,"Moyenne","Faible"))))</f>
        <v/>
      </c>
      <c r="Z419" s="57" t="str">
        <f>IF(X419="","",(L419-X419)/L419)</f>
        <v/>
      </c>
      <c r="AA419" s="54" t="str">
        <f>IF(AND(D419="",O419=""),"",IF(O419="",IF(N419="Oui","Action à définir",IF(N419="Non","Sans action","")),IF(R419="Annulée","Annulée",IF(R419="Réalisée",IF(X419="","À réévaluer","Réalisée"),IF(N(Q419)=0,"Échéance manquante",IF(Q419&lt;p_today,"En retard",IF(Q419-p_today&lt;=p_alert,"Échéance proche","Dans les délais")))))))</f>
        <v/>
      </c>
      <c r="AB419" s="58" t="str">
        <f>IF(AND(A419="",B419="",D419="",F419="",H419="",K419="",O419=""),"",IF(D419="","Mode de défaillance manquant",IF(AND(A419&lt;&gt;"",COUNTIF(am_num,A419)&gt;1),"N° en double",IF(F419="","Gravité G manquante",IF(NOT(IF(ISNUMBER(F419),AND(F419&gt;=1,F419&lt;=10,F419=INT(F419)),FALSE)),"G : entier de 1 à 10",IF(H419="","Occurrence O manquante",IF(NOT(IF(ISNUMBER(H419),AND(H419&gt;=1,H419&lt;=10,H419=INT(H419)),FALSE)),"O : entier de 1 à 10",IF(K419="","Détection D manquante",IF(NOT(IF(ISNUMBER(K419),AND(K419&gt;=1,K419&lt;=10,K419=INT(K419)),FALSE)),"D : entier de 1 à 10",IF(G419="","Cause manquante",IF(AND(O419&lt;&gt;"",P419=""),"Responsable manquant",IF(AND(R419&lt;&gt;"",O419=""),"Statut sans action",IF(AND(R419="Réalisée",N(S419)=0),"Date de réalisation manquante",IF(AND(T419&lt;&gt;"",IF(ISNUMBER(T419),T419&lt;0,TRUE)),"Coût invalide",IF(AND(COUNTBLANK(U419:W419)&gt;0,COUNTBLANK(U419:W419)&lt;3),"Cotation après action incomplète",IF(AND(COUNTBLANK(U419:W419)=0,X419=""),"G', O', D' : entiers de 1 à 10",IF(AND(X419&lt;&gt;"",X419&gt;L419),"IPR après action plus élevé","OK")))))))))))))))))</f>
        <v/>
      </c>
      <c r="AC419" s="59" t="str">
        <f>IF(OR(AA419="En retard",AA419="Échéance proche",AA419="Dans les délais",AA419="Échéance manquante",AA419="Action à définir",AA419="À réévaluer"),IF(OR(plan_who="",P419=plan_who),IF(N(Q419)&gt;0,Q419,99999)*1000+ROW(),""),"")</f>
        <v/>
      </c>
      <c r="AD419" s="59" t="str">
        <f>IF(L419="","",L419*1000+1000-ROW())</f>
        <v/>
      </c>
      <c r="AE419" s="59" t="str">
        <f>IF(IF(AA419="En retard",1,IF(AA419="Action à définir",2,IF(AA419="Échéance manquante",3,IF(AA419="Échéance proche",4,IF(AA419="À réévaluer",5,0)))))=0,"",IF(AA419="En retard",1,IF(AA419="Action à définir",2,IF(AA419="Échéance manquante",3,IF(AA419="Échéance proche",4,IF(AA419="À réévaluer",5,0)))))*100000000+IF(N(Q419)&gt;0,Q419,99999)*1000+ROW())</f>
        <v/>
      </c>
      <c r="AF419" s="59" t="str">
        <f>IF(X419&lt;&gt;"",X419,L419)</f>
        <v/>
      </c>
      <c r="AG419" s="59" t="str">
        <f>IF(X419&lt;&gt;"",Y419,IF(L419&lt;&gt;"",M419,""))</f>
        <v/>
      </c>
      <c r="AH419" s="59" t="str">
        <f>IF(L419="","",IF(X419&lt;&gt;"",U419,F419))</f>
        <v/>
      </c>
      <c r="AI419" s="59" t="str">
        <f>IF(L419="","",IF(X419&lt;&gt;"",V419,H419))</f>
        <v/>
      </c>
    </row>
    <row r="420" ht="30" customHeight="1">
      <c r="A420" s="50" t="n"/>
      <c r="B420" s="51" t="n"/>
      <c r="C420" s="51" t="n"/>
      <c r="D420" s="51" t="n"/>
      <c r="E420" s="51" t="n"/>
      <c r="F420" s="52" t="n"/>
      <c r="G420" s="51" t="n"/>
      <c r="H420" s="52" t="n"/>
      <c r="I420" s="51" t="n"/>
      <c r="J420" s="51" t="n"/>
      <c r="K420" s="52" t="n"/>
      <c r="L420" s="53" t="str">
        <f>IF(AND(IF(ISNUMBER(F420),AND(F420&gt;=1,F420&lt;=10,F420=INT(F420)),FALSE),IF(ISNUMBER(H420),AND(H420&gt;=1,H420&lt;=10,H420=INT(H420)),FALSE),IF(ISNUMBER(K420),AND(K420&gt;=1,K420&lt;=10,K420=INT(K420)),FALSE)),F420*H420*K420,"")</f>
        <v/>
      </c>
      <c r="M420" s="54" t="str">
        <f>IF(L420="",IF(D420="","","À coter"),IF(OR(F420&gt;=p_gmin,L420&gt;=p_ipr_crit),"Critique",IF(L420&gt;=p_ipr_act,"Élevée",IF(L420&gt;=p_ipr_watch,"Moyenne","Faible"))))</f>
        <v/>
      </c>
      <c r="N420" s="54" t="str">
        <f>IF(OR(M420="",M420="À coter"),"",IF(OR(M420="Critique",M420="Élevée"),"Oui","Non"))</f>
        <v/>
      </c>
      <c r="O420" s="51" t="n"/>
      <c r="P420" s="51" t="n"/>
      <c r="Q420" s="55" t="n"/>
      <c r="R420" s="50" t="n"/>
      <c r="S420" s="55" t="n"/>
      <c r="T420" s="56" t="n"/>
      <c r="U420" s="52" t="n"/>
      <c r="V420" s="52" t="n"/>
      <c r="W420" s="52" t="n"/>
      <c r="X420" s="53" t="str">
        <f>IF(AND(L420&lt;&gt;"",IF(ISNUMBER(U420),AND(U420&gt;=1,U420&lt;=10,U420=INT(U420)),FALSE),IF(ISNUMBER(V420),AND(V420&gt;=1,V420&lt;=10,V420=INT(V420)),FALSE),IF(ISNUMBER(W420),AND(W420&gt;=1,W420&lt;=10,W420=INT(W420)),FALSE)),U420*V420*W420,"")</f>
        <v/>
      </c>
      <c r="Y420" s="54" t="str">
        <f>IF(X420="","",IF(OR(U420&gt;=p_gmin,X420&gt;=p_ipr_crit),"Critique",IF(X420&gt;=p_ipr_act,"Élevée",IF(X420&gt;=p_ipr_watch,"Moyenne","Faible"))))</f>
        <v/>
      </c>
      <c r="Z420" s="57" t="str">
        <f>IF(X420="","",(L420-X420)/L420)</f>
        <v/>
      </c>
      <c r="AA420" s="54" t="str">
        <f>IF(AND(D420="",O420=""),"",IF(O420="",IF(N420="Oui","Action à définir",IF(N420="Non","Sans action","")),IF(R420="Annulée","Annulée",IF(R420="Réalisée",IF(X420="","À réévaluer","Réalisée"),IF(N(Q420)=0,"Échéance manquante",IF(Q420&lt;p_today,"En retard",IF(Q420-p_today&lt;=p_alert,"Échéance proche","Dans les délais")))))))</f>
        <v/>
      </c>
      <c r="AB420" s="58" t="str">
        <f>IF(AND(A420="",B420="",D420="",F420="",H420="",K420="",O420=""),"",IF(D420="","Mode de défaillance manquant",IF(AND(A420&lt;&gt;"",COUNTIF(am_num,A420)&gt;1),"N° en double",IF(F420="","Gravité G manquante",IF(NOT(IF(ISNUMBER(F420),AND(F420&gt;=1,F420&lt;=10,F420=INT(F420)),FALSE)),"G : entier de 1 à 10",IF(H420="","Occurrence O manquante",IF(NOT(IF(ISNUMBER(H420),AND(H420&gt;=1,H420&lt;=10,H420=INT(H420)),FALSE)),"O : entier de 1 à 10",IF(K420="","Détection D manquante",IF(NOT(IF(ISNUMBER(K420),AND(K420&gt;=1,K420&lt;=10,K420=INT(K420)),FALSE)),"D : entier de 1 à 10",IF(G420="","Cause manquante",IF(AND(O420&lt;&gt;"",P420=""),"Responsable manquant",IF(AND(R420&lt;&gt;"",O420=""),"Statut sans action",IF(AND(R420="Réalisée",N(S420)=0),"Date de réalisation manquante",IF(AND(T420&lt;&gt;"",IF(ISNUMBER(T420),T420&lt;0,TRUE)),"Coût invalide",IF(AND(COUNTBLANK(U420:W420)&gt;0,COUNTBLANK(U420:W420)&lt;3),"Cotation après action incomplète",IF(AND(COUNTBLANK(U420:W420)=0,X420=""),"G', O', D' : entiers de 1 à 10",IF(AND(X420&lt;&gt;"",X420&gt;L420),"IPR après action plus élevé","OK")))))))))))))))))</f>
        <v/>
      </c>
      <c r="AC420" s="59" t="str">
        <f>IF(OR(AA420="En retard",AA420="Échéance proche",AA420="Dans les délais",AA420="Échéance manquante",AA420="Action à définir",AA420="À réévaluer"),IF(OR(plan_who="",P420=plan_who),IF(N(Q420)&gt;0,Q420,99999)*1000+ROW(),""),"")</f>
        <v/>
      </c>
      <c r="AD420" s="59" t="str">
        <f>IF(L420="","",L420*1000+1000-ROW())</f>
        <v/>
      </c>
      <c r="AE420" s="59" t="str">
        <f>IF(IF(AA420="En retard",1,IF(AA420="Action à définir",2,IF(AA420="Échéance manquante",3,IF(AA420="Échéance proche",4,IF(AA420="À réévaluer",5,0)))))=0,"",IF(AA420="En retard",1,IF(AA420="Action à définir",2,IF(AA420="Échéance manquante",3,IF(AA420="Échéance proche",4,IF(AA420="À réévaluer",5,0)))))*100000000+IF(N(Q420)&gt;0,Q420,99999)*1000+ROW())</f>
        <v/>
      </c>
      <c r="AF420" s="59" t="str">
        <f>IF(X420&lt;&gt;"",X420,L420)</f>
        <v/>
      </c>
      <c r="AG420" s="59" t="str">
        <f>IF(X420&lt;&gt;"",Y420,IF(L420&lt;&gt;"",M420,""))</f>
        <v/>
      </c>
      <c r="AH420" s="59" t="str">
        <f>IF(L420="","",IF(X420&lt;&gt;"",U420,F420))</f>
        <v/>
      </c>
      <c r="AI420" s="59" t="str">
        <f>IF(L420="","",IF(X420&lt;&gt;"",V420,H420))</f>
        <v/>
      </c>
    </row>
    <row r="421" ht="30" customHeight="1">
      <c r="A421" s="50" t="n"/>
      <c r="B421" s="51" t="n"/>
      <c r="C421" s="51" t="n"/>
      <c r="D421" s="51" t="n"/>
      <c r="E421" s="51" t="n"/>
      <c r="F421" s="52" t="n"/>
      <c r="G421" s="51" t="n"/>
      <c r="H421" s="52" t="n"/>
      <c r="I421" s="51" t="n"/>
      <c r="J421" s="51" t="n"/>
      <c r="K421" s="52" t="n"/>
      <c r="L421" s="53" t="str">
        <f>IF(AND(IF(ISNUMBER(F421),AND(F421&gt;=1,F421&lt;=10,F421=INT(F421)),FALSE),IF(ISNUMBER(H421),AND(H421&gt;=1,H421&lt;=10,H421=INT(H421)),FALSE),IF(ISNUMBER(K421),AND(K421&gt;=1,K421&lt;=10,K421=INT(K421)),FALSE)),F421*H421*K421,"")</f>
        <v/>
      </c>
      <c r="M421" s="54" t="str">
        <f>IF(L421="",IF(D421="","","À coter"),IF(OR(F421&gt;=p_gmin,L421&gt;=p_ipr_crit),"Critique",IF(L421&gt;=p_ipr_act,"Élevée",IF(L421&gt;=p_ipr_watch,"Moyenne","Faible"))))</f>
        <v/>
      </c>
      <c r="N421" s="54" t="str">
        <f>IF(OR(M421="",M421="À coter"),"",IF(OR(M421="Critique",M421="Élevée"),"Oui","Non"))</f>
        <v/>
      </c>
      <c r="O421" s="51" t="n"/>
      <c r="P421" s="51" t="n"/>
      <c r="Q421" s="55" t="n"/>
      <c r="R421" s="50" t="n"/>
      <c r="S421" s="55" t="n"/>
      <c r="T421" s="56" t="n"/>
      <c r="U421" s="52" t="n"/>
      <c r="V421" s="52" t="n"/>
      <c r="W421" s="52" t="n"/>
      <c r="X421" s="53" t="str">
        <f>IF(AND(L421&lt;&gt;"",IF(ISNUMBER(U421),AND(U421&gt;=1,U421&lt;=10,U421=INT(U421)),FALSE),IF(ISNUMBER(V421),AND(V421&gt;=1,V421&lt;=10,V421=INT(V421)),FALSE),IF(ISNUMBER(W421),AND(W421&gt;=1,W421&lt;=10,W421=INT(W421)),FALSE)),U421*V421*W421,"")</f>
        <v/>
      </c>
      <c r="Y421" s="54" t="str">
        <f>IF(X421="","",IF(OR(U421&gt;=p_gmin,X421&gt;=p_ipr_crit),"Critique",IF(X421&gt;=p_ipr_act,"Élevée",IF(X421&gt;=p_ipr_watch,"Moyenne","Faible"))))</f>
        <v/>
      </c>
      <c r="Z421" s="57" t="str">
        <f>IF(X421="","",(L421-X421)/L421)</f>
        <v/>
      </c>
      <c r="AA421" s="54" t="str">
        <f>IF(AND(D421="",O421=""),"",IF(O421="",IF(N421="Oui","Action à définir",IF(N421="Non","Sans action","")),IF(R421="Annulée","Annulée",IF(R421="Réalisée",IF(X421="","À réévaluer","Réalisée"),IF(N(Q421)=0,"Échéance manquante",IF(Q421&lt;p_today,"En retard",IF(Q421-p_today&lt;=p_alert,"Échéance proche","Dans les délais")))))))</f>
        <v/>
      </c>
      <c r="AB421" s="58" t="str">
        <f>IF(AND(A421="",B421="",D421="",F421="",H421="",K421="",O421=""),"",IF(D421="","Mode de défaillance manquant",IF(AND(A421&lt;&gt;"",COUNTIF(am_num,A421)&gt;1),"N° en double",IF(F421="","Gravité G manquante",IF(NOT(IF(ISNUMBER(F421),AND(F421&gt;=1,F421&lt;=10,F421=INT(F421)),FALSE)),"G : entier de 1 à 10",IF(H421="","Occurrence O manquante",IF(NOT(IF(ISNUMBER(H421),AND(H421&gt;=1,H421&lt;=10,H421=INT(H421)),FALSE)),"O : entier de 1 à 10",IF(K421="","Détection D manquante",IF(NOT(IF(ISNUMBER(K421),AND(K421&gt;=1,K421&lt;=10,K421=INT(K421)),FALSE)),"D : entier de 1 à 10",IF(G421="","Cause manquante",IF(AND(O421&lt;&gt;"",P421=""),"Responsable manquant",IF(AND(R421&lt;&gt;"",O421=""),"Statut sans action",IF(AND(R421="Réalisée",N(S421)=0),"Date de réalisation manquante",IF(AND(T421&lt;&gt;"",IF(ISNUMBER(T421),T421&lt;0,TRUE)),"Coût invalide",IF(AND(COUNTBLANK(U421:W421)&gt;0,COUNTBLANK(U421:W421)&lt;3),"Cotation après action incomplète",IF(AND(COUNTBLANK(U421:W421)=0,X421=""),"G', O', D' : entiers de 1 à 10",IF(AND(X421&lt;&gt;"",X421&gt;L421),"IPR après action plus élevé","OK")))))))))))))))))</f>
        <v/>
      </c>
      <c r="AC421" s="59" t="str">
        <f>IF(OR(AA421="En retard",AA421="Échéance proche",AA421="Dans les délais",AA421="Échéance manquante",AA421="Action à définir",AA421="À réévaluer"),IF(OR(plan_who="",P421=plan_who),IF(N(Q421)&gt;0,Q421,99999)*1000+ROW(),""),"")</f>
        <v/>
      </c>
      <c r="AD421" s="59" t="str">
        <f>IF(L421="","",L421*1000+1000-ROW())</f>
        <v/>
      </c>
      <c r="AE421" s="59" t="str">
        <f>IF(IF(AA421="En retard",1,IF(AA421="Action à définir",2,IF(AA421="Échéance manquante",3,IF(AA421="Échéance proche",4,IF(AA421="À réévaluer",5,0)))))=0,"",IF(AA421="En retard",1,IF(AA421="Action à définir",2,IF(AA421="Échéance manquante",3,IF(AA421="Échéance proche",4,IF(AA421="À réévaluer",5,0)))))*100000000+IF(N(Q421)&gt;0,Q421,99999)*1000+ROW())</f>
        <v/>
      </c>
      <c r="AF421" s="59" t="str">
        <f>IF(X421&lt;&gt;"",X421,L421)</f>
        <v/>
      </c>
      <c r="AG421" s="59" t="str">
        <f>IF(X421&lt;&gt;"",Y421,IF(L421&lt;&gt;"",M421,""))</f>
        <v/>
      </c>
      <c r="AH421" s="59" t="str">
        <f>IF(L421="","",IF(X421&lt;&gt;"",U421,F421))</f>
        <v/>
      </c>
      <c r="AI421" s="59" t="str">
        <f>IF(L421="","",IF(X421&lt;&gt;"",V421,H421))</f>
        <v/>
      </c>
    </row>
    <row r="422" ht="30" customHeight="1">
      <c r="A422" s="50" t="n"/>
      <c r="B422" s="51" t="n"/>
      <c r="C422" s="51" t="n"/>
      <c r="D422" s="51" t="n"/>
      <c r="E422" s="51" t="n"/>
      <c r="F422" s="52" t="n"/>
      <c r="G422" s="51" t="n"/>
      <c r="H422" s="52" t="n"/>
      <c r="I422" s="51" t="n"/>
      <c r="J422" s="51" t="n"/>
      <c r="K422" s="52" t="n"/>
      <c r="L422" s="53" t="str">
        <f>IF(AND(IF(ISNUMBER(F422),AND(F422&gt;=1,F422&lt;=10,F422=INT(F422)),FALSE),IF(ISNUMBER(H422),AND(H422&gt;=1,H422&lt;=10,H422=INT(H422)),FALSE),IF(ISNUMBER(K422),AND(K422&gt;=1,K422&lt;=10,K422=INT(K422)),FALSE)),F422*H422*K422,"")</f>
        <v/>
      </c>
      <c r="M422" s="54" t="str">
        <f>IF(L422="",IF(D422="","","À coter"),IF(OR(F422&gt;=p_gmin,L422&gt;=p_ipr_crit),"Critique",IF(L422&gt;=p_ipr_act,"Élevée",IF(L422&gt;=p_ipr_watch,"Moyenne","Faible"))))</f>
        <v/>
      </c>
      <c r="N422" s="54" t="str">
        <f>IF(OR(M422="",M422="À coter"),"",IF(OR(M422="Critique",M422="Élevée"),"Oui","Non"))</f>
        <v/>
      </c>
      <c r="O422" s="51" t="n"/>
      <c r="P422" s="51" t="n"/>
      <c r="Q422" s="55" t="n"/>
      <c r="R422" s="50" t="n"/>
      <c r="S422" s="55" t="n"/>
      <c r="T422" s="56" t="n"/>
      <c r="U422" s="52" t="n"/>
      <c r="V422" s="52" t="n"/>
      <c r="W422" s="52" t="n"/>
      <c r="X422" s="53" t="str">
        <f>IF(AND(L422&lt;&gt;"",IF(ISNUMBER(U422),AND(U422&gt;=1,U422&lt;=10,U422=INT(U422)),FALSE),IF(ISNUMBER(V422),AND(V422&gt;=1,V422&lt;=10,V422=INT(V422)),FALSE),IF(ISNUMBER(W422),AND(W422&gt;=1,W422&lt;=10,W422=INT(W422)),FALSE)),U422*V422*W422,"")</f>
        <v/>
      </c>
      <c r="Y422" s="54" t="str">
        <f>IF(X422="","",IF(OR(U422&gt;=p_gmin,X422&gt;=p_ipr_crit),"Critique",IF(X422&gt;=p_ipr_act,"Élevée",IF(X422&gt;=p_ipr_watch,"Moyenne","Faible"))))</f>
        <v/>
      </c>
      <c r="Z422" s="57" t="str">
        <f>IF(X422="","",(L422-X422)/L422)</f>
        <v/>
      </c>
      <c r="AA422" s="54" t="str">
        <f>IF(AND(D422="",O422=""),"",IF(O422="",IF(N422="Oui","Action à définir",IF(N422="Non","Sans action","")),IF(R422="Annulée","Annulée",IF(R422="Réalisée",IF(X422="","À réévaluer","Réalisée"),IF(N(Q422)=0,"Échéance manquante",IF(Q422&lt;p_today,"En retard",IF(Q422-p_today&lt;=p_alert,"Échéance proche","Dans les délais")))))))</f>
        <v/>
      </c>
      <c r="AB422" s="58" t="str">
        <f>IF(AND(A422="",B422="",D422="",F422="",H422="",K422="",O422=""),"",IF(D422="","Mode de défaillance manquant",IF(AND(A422&lt;&gt;"",COUNTIF(am_num,A422)&gt;1),"N° en double",IF(F422="","Gravité G manquante",IF(NOT(IF(ISNUMBER(F422),AND(F422&gt;=1,F422&lt;=10,F422=INT(F422)),FALSE)),"G : entier de 1 à 10",IF(H422="","Occurrence O manquante",IF(NOT(IF(ISNUMBER(H422),AND(H422&gt;=1,H422&lt;=10,H422=INT(H422)),FALSE)),"O : entier de 1 à 10",IF(K422="","Détection D manquante",IF(NOT(IF(ISNUMBER(K422),AND(K422&gt;=1,K422&lt;=10,K422=INT(K422)),FALSE)),"D : entier de 1 à 10",IF(G422="","Cause manquante",IF(AND(O422&lt;&gt;"",P422=""),"Responsable manquant",IF(AND(R422&lt;&gt;"",O422=""),"Statut sans action",IF(AND(R422="Réalisée",N(S422)=0),"Date de réalisation manquante",IF(AND(T422&lt;&gt;"",IF(ISNUMBER(T422),T422&lt;0,TRUE)),"Coût invalide",IF(AND(COUNTBLANK(U422:W422)&gt;0,COUNTBLANK(U422:W422)&lt;3),"Cotation après action incomplète",IF(AND(COUNTBLANK(U422:W422)=0,X422=""),"G', O', D' : entiers de 1 à 10",IF(AND(X422&lt;&gt;"",X422&gt;L422),"IPR après action plus élevé","OK")))))))))))))))))</f>
        <v/>
      </c>
      <c r="AC422" s="59" t="str">
        <f>IF(OR(AA422="En retard",AA422="Échéance proche",AA422="Dans les délais",AA422="Échéance manquante",AA422="Action à définir",AA422="À réévaluer"),IF(OR(plan_who="",P422=plan_who),IF(N(Q422)&gt;0,Q422,99999)*1000+ROW(),""),"")</f>
        <v/>
      </c>
      <c r="AD422" s="59" t="str">
        <f>IF(L422="","",L422*1000+1000-ROW())</f>
        <v/>
      </c>
      <c r="AE422" s="59" t="str">
        <f>IF(IF(AA422="En retard",1,IF(AA422="Action à définir",2,IF(AA422="Échéance manquante",3,IF(AA422="Échéance proche",4,IF(AA422="À réévaluer",5,0)))))=0,"",IF(AA422="En retard",1,IF(AA422="Action à définir",2,IF(AA422="Échéance manquante",3,IF(AA422="Échéance proche",4,IF(AA422="À réévaluer",5,0)))))*100000000+IF(N(Q422)&gt;0,Q422,99999)*1000+ROW())</f>
        <v/>
      </c>
      <c r="AF422" s="59" t="str">
        <f>IF(X422&lt;&gt;"",X422,L422)</f>
        <v/>
      </c>
      <c r="AG422" s="59" t="str">
        <f>IF(X422&lt;&gt;"",Y422,IF(L422&lt;&gt;"",M422,""))</f>
        <v/>
      </c>
      <c r="AH422" s="59" t="str">
        <f>IF(L422="","",IF(X422&lt;&gt;"",U422,F422))</f>
        <v/>
      </c>
      <c r="AI422" s="59" t="str">
        <f>IF(L422="","",IF(X422&lt;&gt;"",V422,H422))</f>
        <v/>
      </c>
    </row>
    <row r="423" ht="30" customHeight="1">
      <c r="A423" s="50" t="n"/>
      <c r="B423" s="51" t="n"/>
      <c r="C423" s="51" t="n"/>
      <c r="D423" s="51" t="n"/>
      <c r="E423" s="51" t="n"/>
      <c r="F423" s="52" t="n"/>
      <c r="G423" s="51" t="n"/>
      <c r="H423" s="52" t="n"/>
      <c r="I423" s="51" t="n"/>
      <c r="J423" s="51" t="n"/>
      <c r="K423" s="52" t="n"/>
      <c r="L423" s="53" t="str">
        <f>IF(AND(IF(ISNUMBER(F423),AND(F423&gt;=1,F423&lt;=10,F423=INT(F423)),FALSE),IF(ISNUMBER(H423),AND(H423&gt;=1,H423&lt;=10,H423=INT(H423)),FALSE),IF(ISNUMBER(K423),AND(K423&gt;=1,K423&lt;=10,K423=INT(K423)),FALSE)),F423*H423*K423,"")</f>
        <v/>
      </c>
      <c r="M423" s="54" t="str">
        <f>IF(L423="",IF(D423="","","À coter"),IF(OR(F423&gt;=p_gmin,L423&gt;=p_ipr_crit),"Critique",IF(L423&gt;=p_ipr_act,"Élevée",IF(L423&gt;=p_ipr_watch,"Moyenne","Faible"))))</f>
        <v/>
      </c>
      <c r="N423" s="54" t="str">
        <f>IF(OR(M423="",M423="À coter"),"",IF(OR(M423="Critique",M423="Élevée"),"Oui","Non"))</f>
        <v/>
      </c>
      <c r="O423" s="51" t="n"/>
      <c r="P423" s="51" t="n"/>
      <c r="Q423" s="55" t="n"/>
      <c r="R423" s="50" t="n"/>
      <c r="S423" s="55" t="n"/>
      <c r="T423" s="56" t="n"/>
      <c r="U423" s="52" t="n"/>
      <c r="V423" s="52" t="n"/>
      <c r="W423" s="52" t="n"/>
      <c r="X423" s="53" t="str">
        <f>IF(AND(L423&lt;&gt;"",IF(ISNUMBER(U423),AND(U423&gt;=1,U423&lt;=10,U423=INT(U423)),FALSE),IF(ISNUMBER(V423),AND(V423&gt;=1,V423&lt;=10,V423=INT(V423)),FALSE),IF(ISNUMBER(W423),AND(W423&gt;=1,W423&lt;=10,W423=INT(W423)),FALSE)),U423*V423*W423,"")</f>
        <v/>
      </c>
      <c r="Y423" s="54" t="str">
        <f>IF(X423="","",IF(OR(U423&gt;=p_gmin,X423&gt;=p_ipr_crit),"Critique",IF(X423&gt;=p_ipr_act,"Élevée",IF(X423&gt;=p_ipr_watch,"Moyenne","Faible"))))</f>
        <v/>
      </c>
      <c r="Z423" s="57" t="str">
        <f>IF(X423="","",(L423-X423)/L423)</f>
        <v/>
      </c>
      <c r="AA423" s="54" t="str">
        <f>IF(AND(D423="",O423=""),"",IF(O423="",IF(N423="Oui","Action à définir",IF(N423="Non","Sans action","")),IF(R423="Annulée","Annulée",IF(R423="Réalisée",IF(X423="","À réévaluer","Réalisée"),IF(N(Q423)=0,"Échéance manquante",IF(Q423&lt;p_today,"En retard",IF(Q423-p_today&lt;=p_alert,"Échéance proche","Dans les délais")))))))</f>
        <v/>
      </c>
      <c r="AB423" s="58" t="str">
        <f>IF(AND(A423="",B423="",D423="",F423="",H423="",K423="",O423=""),"",IF(D423="","Mode de défaillance manquant",IF(AND(A423&lt;&gt;"",COUNTIF(am_num,A423)&gt;1),"N° en double",IF(F423="","Gravité G manquante",IF(NOT(IF(ISNUMBER(F423),AND(F423&gt;=1,F423&lt;=10,F423=INT(F423)),FALSE)),"G : entier de 1 à 10",IF(H423="","Occurrence O manquante",IF(NOT(IF(ISNUMBER(H423),AND(H423&gt;=1,H423&lt;=10,H423=INT(H423)),FALSE)),"O : entier de 1 à 10",IF(K423="","Détection D manquante",IF(NOT(IF(ISNUMBER(K423),AND(K423&gt;=1,K423&lt;=10,K423=INT(K423)),FALSE)),"D : entier de 1 à 10",IF(G423="","Cause manquante",IF(AND(O423&lt;&gt;"",P423=""),"Responsable manquant",IF(AND(R423&lt;&gt;"",O423=""),"Statut sans action",IF(AND(R423="Réalisée",N(S423)=0),"Date de réalisation manquante",IF(AND(T423&lt;&gt;"",IF(ISNUMBER(T423),T423&lt;0,TRUE)),"Coût invalide",IF(AND(COUNTBLANK(U423:W423)&gt;0,COUNTBLANK(U423:W423)&lt;3),"Cotation après action incomplète",IF(AND(COUNTBLANK(U423:W423)=0,X423=""),"G', O', D' : entiers de 1 à 10",IF(AND(X423&lt;&gt;"",X423&gt;L423),"IPR après action plus élevé","OK")))))))))))))))))</f>
        <v/>
      </c>
      <c r="AC423" s="59" t="str">
        <f>IF(OR(AA423="En retard",AA423="Échéance proche",AA423="Dans les délais",AA423="Échéance manquante",AA423="Action à définir",AA423="À réévaluer"),IF(OR(plan_who="",P423=plan_who),IF(N(Q423)&gt;0,Q423,99999)*1000+ROW(),""),"")</f>
        <v/>
      </c>
      <c r="AD423" s="59" t="str">
        <f>IF(L423="","",L423*1000+1000-ROW())</f>
        <v/>
      </c>
      <c r="AE423" s="59" t="str">
        <f>IF(IF(AA423="En retard",1,IF(AA423="Action à définir",2,IF(AA423="Échéance manquante",3,IF(AA423="Échéance proche",4,IF(AA423="À réévaluer",5,0)))))=0,"",IF(AA423="En retard",1,IF(AA423="Action à définir",2,IF(AA423="Échéance manquante",3,IF(AA423="Échéance proche",4,IF(AA423="À réévaluer",5,0)))))*100000000+IF(N(Q423)&gt;0,Q423,99999)*1000+ROW())</f>
        <v/>
      </c>
      <c r="AF423" s="59" t="str">
        <f>IF(X423&lt;&gt;"",X423,L423)</f>
        <v/>
      </c>
      <c r="AG423" s="59" t="str">
        <f>IF(X423&lt;&gt;"",Y423,IF(L423&lt;&gt;"",M423,""))</f>
        <v/>
      </c>
      <c r="AH423" s="59" t="str">
        <f>IF(L423="","",IF(X423&lt;&gt;"",U423,F423))</f>
        <v/>
      </c>
      <c r="AI423" s="59" t="str">
        <f>IF(L423="","",IF(X423&lt;&gt;"",V423,H423))</f>
        <v/>
      </c>
    </row>
    <row r="424" ht="30" customHeight="1">
      <c r="A424" s="50" t="n"/>
      <c r="B424" s="51" t="n"/>
      <c r="C424" s="51" t="n"/>
      <c r="D424" s="51" t="n"/>
      <c r="E424" s="51" t="n"/>
      <c r="F424" s="52" t="n"/>
      <c r="G424" s="51" t="n"/>
      <c r="H424" s="52" t="n"/>
      <c r="I424" s="51" t="n"/>
      <c r="J424" s="51" t="n"/>
      <c r="K424" s="52" t="n"/>
      <c r="L424" s="53" t="str">
        <f>IF(AND(IF(ISNUMBER(F424),AND(F424&gt;=1,F424&lt;=10,F424=INT(F424)),FALSE),IF(ISNUMBER(H424),AND(H424&gt;=1,H424&lt;=10,H424=INT(H424)),FALSE),IF(ISNUMBER(K424),AND(K424&gt;=1,K424&lt;=10,K424=INT(K424)),FALSE)),F424*H424*K424,"")</f>
        <v/>
      </c>
      <c r="M424" s="54" t="str">
        <f>IF(L424="",IF(D424="","","À coter"),IF(OR(F424&gt;=p_gmin,L424&gt;=p_ipr_crit),"Critique",IF(L424&gt;=p_ipr_act,"Élevée",IF(L424&gt;=p_ipr_watch,"Moyenne","Faible"))))</f>
        <v/>
      </c>
      <c r="N424" s="54" t="str">
        <f>IF(OR(M424="",M424="À coter"),"",IF(OR(M424="Critique",M424="Élevée"),"Oui","Non"))</f>
        <v/>
      </c>
      <c r="O424" s="51" t="n"/>
      <c r="P424" s="51" t="n"/>
      <c r="Q424" s="55" t="n"/>
      <c r="R424" s="50" t="n"/>
      <c r="S424" s="55" t="n"/>
      <c r="T424" s="56" t="n"/>
      <c r="U424" s="52" t="n"/>
      <c r="V424" s="52" t="n"/>
      <c r="W424" s="52" t="n"/>
      <c r="X424" s="53" t="str">
        <f>IF(AND(L424&lt;&gt;"",IF(ISNUMBER(U424),AND(U424&gt;=1,U424&lt;=10,U424=INT(U424)),FALSE),IF(ISNUMBER(V424),AND(V424&gt;=1,V424&lt;=10,V424=INT(V424)),FALSE),IF(ISNUMBER(W424),AND(W424&gt;=1,W424&lt;=10,W424=INT(W424)),FALSE)),U424*V424*W424,"")</f>
        <v/>
      </c>
      <c r="Y424" s="54" t="str">
        <f>IF(X424="","",IF(OR(U424&gt;=p_gmin,X424&gt;=p_ipr_crit),"Critique",IF(X424&gt;=p_ipr_act,"Élevée",IF(X424&gt;=p_ipr_watch,"Moyenne","Faible"))))</f>
        <v/>
      </c>
      <c r="Z424" s="57" t="str">
        <f>IF(X424="","",(L424-X424)/L424)</f>
        <v/>
      </c>
      <c r="AA424" s="54" t="str">
        <f>IF(AND(D424="",O424=""),"",IF(O424="",IF(N424="Oui","Action à définir",IF(N424="Non","Sans action","")),IF(R424="Annulée","Annulée",IF(R424="Réalisée",IF(X424="","À réévaluer","Réalisée"),IF(N(Q424)=0,"Échéance manquante",IF(Q424&lt;p_today,"En retard",IF(Q424-p_today&lt;=p_alert,"Échéance proche","Dans les délais")))))))</f>
        <v/>
      </c>
      <c r="AB424" s="58" t="str">
        <f>IF(AND(A424="",B424="",D424="",F424="",H424="",K424="",O424=""),"",IF(D424="","Mode de défaillance manquant",IF(AND(A424&lt;&gt;"",COUNTIF(am_num,A424)&gt;1),"N° en double",IF(F424="","Gravité G manquante",IF(NOT(IF(ISNUMBER(F424),AND(F424&gt;=1,F424&lt;=10,F424=INT(F424)),FALSE)),"G : entier de 1 à 10",IF(H424="","Occurrence O manquante",IF(NOT(IF(ISNUMBER(H424),AND(H424&gt;=1,H424&lt;=10,H424=INT(H424)),FALSE)),"O : entier de 1 à 10",IF(K424="","Détection D manquante",IF(NOT(IF(ISNUMBER(K424),AND(K424&gt;=1,K424&lt;=10,K424=INT(K424)),FALSE)),"D : entier de 1 à 10",IF(G424="","Cause manquante",IF(AND(O424&lt;&gt;"",P424=""),"Responsable manquant",IF(AND(R424&lt;&gt;"",O424=""),"Statut sans action",IF(AND(R424="Réalisée",N(S424)=0),"Date de réalisation manquante",IF(AND(T424&lt;&gt;"",IF(ISNUMBER(T424),T424&lt;0,TRUE)),"Coût invalide",IF(AND(COUNTBLANK(U424:W424)&gt;0,COUNTBLANK(U424:W424)&lt;3),"Cotation après action incomplète",IF(AND(COUNTBLANK(U424:W424)=0,X424=""),"G', O', D' : entiers de 1 à 10",IF(AND(X424&lt;&gt;"",X424&gt;L424),"IPR après action plus élevé","OK")))))))))))))))))</f>
        <v/>
      </c>
      <c r="AC424" s="59" t="str">
        <f>IF(OR(AA424="En retard",AA424="Échéance proche",AA424="Dans les délais",AA424="Échéance manquante",AA424="Action à définir",AA424="À réévaluer"),IF(OR(plan_who="",P424=plan_who),IF(N(Q424)&gt;0,Q424,99999)*1000+ROW(),""),"")</f>
        <v/>
      </c>
      <c r="AD424" s="59" t="str">
        <f>IF(L424="","",L424*1000+1000-ROW())</f>
        <v/>
      </c>
      <c r="AE424" s="59" t="str">
        <f>IF(IF(AA424="En retard",1,IF(AA424="Action à définir",2,IF(AA424="Échéance manquante",3,IF(AA424="Échéance proche",4,IF(AA424="À réévaluer",5,0)))))=0,"",IF(AA424="En retard",1,IF(AA424="Action à définir",2,IF(AA424="Échéance manquante",3,IF(AA424="Échéance proche",4,IF(AA424="À réévaluer",5,0)))))*100000000+IF(N(Q424)&gt;0,Q424,99999)*1000+ROW())</f>
        <v/>
      </c>
      <c r="AF424" s="59" t="str">
        <f>IF(X424&lt;&gt;"",X424,L424)</f>
        <v/>
      </c>
      <c r="AG424" s="59" t="str">
        <f>IF(X424&lt;&gt;"",Y424,IF(L424&lt;&gt;"",M424,""))</f>
        <v/>
      </c>
      <c r="AH424" s="59" t="str">
        <f>IF(L424="","",IF(X424&lt;&gt;"",U424,F424))</f>
        <v/>
      </c>
      <c r="AI424" s="59" t="str">
        <f>IF(L424="","",IF(X424&lt;&gt;"",V424,H424))</f>
        <v/>
      </c>
    </row>
    <row r="425" ht="30" customHeight="1">
      <c r="A425" s="50" t="n"/>
      <c r="B425" s="51" t="n"/>
      <c r="C425" s="51" t="n"/>
      <c r="D425" s="51" t="n"/>
      <c r="E425" s="51" t="n"/>
      <c r="F425" s="52" t="n"/>
      <c r="G425" s="51" t="n"/>
      <c r="H425" s="52" t="n"/>
      <c r="I425" s="51" t="n"/>
      <c r="J425" s="51" t="n"/>
      <c r="K425" s="52" t="n"/>
      <c r="L425" s="53" t="str">
        <f>IF(AND(IF(ISNUMBER(F425),AND(F425&gt;=1,F425&lt;=10,F425=INT(F425)),FALSE),IF(ISNUMBER(H425),AND(H425&gt;=1,H425&lt;=10,H425=INT(H425)),FALSE),IF(ISNUMBER(K425),AND(K425&gt;=1,K425&lt;=10,K425=INT(K425)),FALSE)),F425*H425*K425,"")</f>
        <v/>
      </c>
      <c r="M425" s="54" t="str">
        <f>IF(L425="",IF(D425="","","À coter"),IF(OR(F425&gt;=p_gmin,L425&gt;=p_ipr_crit),"Critique",IF(L425&gt;=p_ipr_act,"Élevée",IF(L425&gt;=p_ipr_watch,"Moyenne","Faible"))))</f>
        <v/>
      </c>
      <c r="N425" s="54" t="str">
        <f>IF(OR(M425="",M425="À coter"),"",IF(OR(M425="Critique",M425="Élevée"),"Oui","Non"))</f>
        <v/>
      </c>
      <c r="O425" s="51" t="n"/>
      <c r="P425" s="51" t="n"/>
      <c r="Q425" s="55" t="n"/>
      <c r="R425" s="50" t="n"/>
      <c r="S425" s="55" t="n"/>
      <c r="T425" s="56" t="n"/>
      <c r="U425" s="52" t="n"/>
      <c r="V425" s="52" t="n"/>
      <c r="W425" s="52" t="n"/>
      <c r="X425" s="53" t="str">
        <f>IF(AND(L425&lt;&gt;"",IF(ISNUMBER(U425),AND(U425&gt;=1,U425&lt;=10,U425=INT(U425)),FALSE),IF(ISNUMBER(V425),AND(V425&gt;=1,V425&lt;=10,V425=INT(V425)),FALSE),IF(ISNUMBER(W425),AND(W425&gt;=1,W425&lt;=10,W425=INT(W425)),FALSE)),U425*V425*W425,"")</f>
        <v/>
      </c>
      <c r="Y425" s="54" t="str">
        <f>IF(X425="","",IF(OR(U425&gt;=p_gmin,X425&gt;=p_ipr_crit),"Critique",IF(X425&gt;=p_ipr_act,"Élevée",IF(X425&gt;=p_ipr_watch,"Moyenne","Faible"))))</f>
        <v/>
      </c>
      <c r="Z425" s="57" t="str">
        <f>IF(X425="","",(L425-X425)/L425)</f>
        <v/>
      </c>
      <c r="AA425" s="54" t="str">
        <f>IF(AND(D425="",O425=""),"",IF(O425="",IF(N425="Oui","Action à définir",IF(N425="Non","Sans action","")),IF(R425="Annulée","Annulée",IF(R425="Réalisée",IF(X425="","À réévaluer","Réalisée"),IF(N(Q425)=0,"Échéance manquante",IF(Q425&lt;p_today,"En retard",IF(Q425-p_today&lt;=p_alert,"Échéance proche","Dans les délais")))))))</f>
        <v/>
      </c>
      <c r="AB425" s="58" t="str">
        <f>IF(AND(A425="",B425="",D425="",F425="",H425="",K425="",O425=""),"",IF(D425="","Mode de défaillance manquant",IF(AND(A425&lt;&gt;"",COUNTIF(am_num,A425)&gt;1),"N° en double",IF(F425="","Gravité G manquante",IF(NOT(IF(ISNUMBER(F425),AND(F425&gt;=1,F425&lt;=10,F425=INT(F425)),FALSE)),"G : entier de 1 à 10",IF(H425="","Occurrence O manquante",IF(NOT(IF(ISNUMBER(H425),AND(H425&gt;=1,H425&lt;=10,H425=INT(H425)),FALSE)),"O : entier de 1 à 10",IF(K425="","Détection D manquante",IF(NOT(IF(ISNUMBER(K425),AND(K425&gt;=1,K425&lt;=10,K425=INT(K425)),FALSE)),"D : entier de 1 à 10",IF(G425="","Cause manquante",IF(AND(O425&lt;&gt;"",P425=""),"Responsable manquant",IF(AND(R425&lt;&gt;"",O425=""),"Statut sans action",IF(AND(R425="Réalisée",N(S425)=0),"Date de réalisation manquante",IF(AND(T425&lt;&gt;"",IF(ISNUMBER(T425),T425&lt;0,TRUE)),"Coût invalide",IF(AND(COUNTBLANK(U425:W425)&gt;0,COUNTBLANK(U425:W425)&lt;3),"Cotation après action incomplète",IF(AND(COUNTBLANK(U425:W425)=0,X425=""),"G', O', D' : entiers de 1 à 10",IF(AND(X425&lt;&gt;"",X425&gt;L425),"IPR après action plus élevé","OK")))))))))))))))))</f>
        <v/>
      </c>
      <c r="AC425" s="59" t="str">
        <f>IF(OR(AA425="En retard",AA425="Échéance proche",AA425="Dans les délais",AA425="Échéance manquante",AA425="Action à définir",AA425="À réévaluer"),IF(OR(plan_who="",P425=plan_who),IF(N(Q425)&gt;0,Q425,99999)*1000+ROW(),""),"")</f>
        <v/>
      </c>
      <c r="AD425" s="59" t="str">
        <f>IF(L425="","",L425*1000+1000-ROW())</f>
        <v/>
      </c>
      <c r="AE425" s="59" t="str">
        <f>IF(IF(AA425="En retard",1,IF(AA425="Action à définir",2,IF(AA425="Échéance manquante",3,IF(AA425="Échéance proche",4,IF(AA425="À réévaluer",5,0)))))=0,"",IF(AA425="En retard",1,IF(AA425="Action à définir",2,IF(AA425="Échéance manquante",3,IF(AA425="Échéance proche",4,IF(AA425="À réévaluer",5,0)))))*100000000+IF(N(Q425)&gt;0,Q425,99999)*1000+ROW())</f>
        <v/>
      </c>
      <c r="AF425" s="59" t="str">
        <f>IF(X425&lt;&gt;"",X425,L425)</f>
        <v/>
      </c>
      <c r="AG425" s="59" t="str">
        <f>IF(X425&lt;&gt;"",Y425,IF(L425&lt;&gt;"",M425,""))</f>
        <v/>
      </c>
      <c r="AH425" s="59" t="str">
        <f>IF(L425="","",IF(X425&lt;&gt;"",U425,F425))</f>
        <v/>
      </c>
      <c r="AI425" s="59" t="str">
        <f>IF(L425="","",IF(X425&lt;&gt;"",V425,H425))</f>
        <v/>
      </c>
    </row>
    <row r="426" ht="30" customHeight="1">
      <c r="A426" s="50" t="n"/>
      <c r="B426" s="51" t="n"/>
      <c r="C426" s="51" t="n"/>
      <c r="D426" s="51" t="n"/>
      <c r="E426" s="51" t="n"/>
      <c r="F426" s="52" t="n"/>
      <c r="G426" s="51" t="n"/>
      <c r="H426" s="52" t="n"/>
      <c r="I426" s="51" t="n"/>
      <c r="J426" s="51" t="n"/>
      <c r="K426" s="52" t="n"/>
      <c r="L426" s="53" t="str">
        <f>IF(AND(IF(ISNUMBER(F426),AND(F426&gt;=1,F426&lt;=10,F426=INT(F426)),FALSE),IF(ISNUMBER(H426),AND(H426&gt;=1,H426&lt;=10,H426=INT(H426)),FALSE),IF(ISNUMBER(K426),AND(K426&gt;=1,K426&lt;=10,K426=INT(K426)),FALSE)),F426*H426*K426,"")</f>
        <v/>
      </c>
      <c r="M426" s="54" t="str">
        <f>IF(L426="",IF(D426="","","À coter"),IF(OR(F426&gt;=p_gmin,L426&gt;=p_ipr_crit),"Critique",IF(L426&gt;=p_ipr_act,"Élevée",IF(L426&gt;=p_ipr_watch,"Moyenne","Faible"))))</f>
        <v/>
      </c>
      <c r="N426" s="54" t="str">
        <f>IF(OR(M426="",M426="À coter"),"",IF(OR(M426="Critique",M426="Élevée"),"Oui","Non"))</f>
        <v/>
      </c>
      <c r="O426" s="51" t="n"/>
      <c r="P426" s="51" t="n"/>
      <c r="Q426" s="55" t="n"/>
      <c r="R426" s="50" t="n"/>
      <c r="S426" s="55" t="n"/>
      <c r="T426" s="56" t="n"/>
      <c r="U426" s="52" t="n"/>
      <c r="V426" s="52" t="n"/>
      <c r="W426" s="52" t="n"/>
      <c r="X426" s="53" t="str">
        <f>IF(AND(L426&lt;&gt;"",IF(ISNUMBER(U426),AND(U426&gt;=1,U426&lt;=10,U426=INT(U426)),FALSE),IF(ISNUMBER(V426),AND(V426&gt;=1,V426&lt;=10,V426=INT(V426)),FALSE),IF(ISNUMBER(W426),AND(W426&gt;=1,W426&lt;=10,W426=INT(W426)),FALSE)),U426*V426*W426,"")</f>
        <v/>
      </c>
      <c r="Y426" s="54" t="str">
        <f>IF(X426="","",IF(OR(U426&gt;=p_gmin,X426&gt;=p_ipr_crit),"Critique",IF(X426&gt;=p_ipr_act,"Élevée",IF(X426&gt;=p_ipr_watch,"Moyenne","Faible"))))</f>
        <v/>
      </c>
      <c r="Z426" s="57" t="str">
        <f>IF(X426="","",(L426-X426)/L426)</f>
        <v/>
      </c>
      <c r="AA426" s="54" t="str">
        <f>IF(AND(D426="",O426=""),"",IF(O426="",IF(N426="Oui","Action à définir",IF(N426="Non","Sans action","")),IF(R426="Annulée","Annulée",IF(R426="Réalisée",IF(X426="","À réévaluer","Réalisée"),IF(N(Q426)=0,"Échéance manquante",IF(Q426&lt;p_today,"En retard",IF(Q426-p_today&lt;=p_alert,"Échéance proche","Dans les délais")))))))</f>
        <v/>
      </c>
      <c r="AB426" s="58" t="str">
        <f>IF(AND(A426="",B426="",D426="",F426="",H426="",K426="",O426=""),"",IF(D426="","Mode de défaillance manquant",IF(AND(A426&lt;&gt;"",COUNTIF(am_num,A426)&gt;1),"N° en double",IF(F426="","Gravité G manquante",IF(NOT(IF(ISNUMBER(F426),AND(F426&gt;=1,F426&lt;=10,F426=INT(F426)),FALSE)),"G : entier de 1 à 10",IF(H426="","Occurrence O manquante",IF(NOT(IF(ISNUMBER(H426),AND(H426&gt;=1,H426&lt;=10,H426=INT(H426)),FALSE)),"O : entier de 1 à 10",IF(K426="","Détection D manquante",IF(NOT(IF(ISNUMBER(K426),AND(K426&gt;=1,K426&lt;=10,K426=INT(K426)),FALSE)),"D : entier de 1 à 10",IF(G426="","Cause manquante",IF(AND(O426&lt;&gt;"",P426=""),"Responsable manquant",IF(AND(R426&lt;&gt;"",O426=""),"Statut sans action",IF(AND(R426="Réalisée",N(S426)=0),"Date de réalisation manquante",IF(AND(T426&lt;&gt;"",IF(ISNUMBER(T426),T426&lt;0,TRUE)),"Coût invalide",IF(AND(COUNTBLANK(U426:W426)&gt;0,COUNTBLANK(U426:W426)&lt;3),"Cotation après action incomplète",IF(AND(COUNTBLANK(U426:W426)=0,X426=""),"G', O', D' : entiers de 1 à 10",IF(AND(X426&lt;&gt;"",X426&gt;L426),"IPR après action plus élevé","OK")))))))))))))))))</f>
        <v/>
      </c>
      <c r="AC426" s="59" t="str">
        <f>IF(OR(AA426="En retard",AA426="Échéance proche",AA426="Dans les délais",AA426="Échéance manquante",AA426="Action à définir",AA426="À réévaluer"),IF(OR(plan_who="",P426=plan_who),IF(N(Q426)&gt;0,Q426,99999)*1000+ROW(),""),"")</f>
        <v/>
      </c>
      <c r="AD426" s="59" t="str">
        <f>IF(L426="","",L426*1000+1000-ROW())</f>
        <v/>
      </c>
      <c r="AE426" s="59" t="str">
        <f>IF(IF(AA426="En retard",1,IF(AA426="Action à définir",2,IF(AA426="Échéance manquante",3,IF(AA426="Échéance proche",4,IF(AA426="À réévaluer",5,0)))))=0,"",IF(AA426="En retard",1,IF(AA426="Action à définir",2,IF(AA426="Échéance manquante",3,IF(AA426="Échéance proche",4,IF(AA426="À réévaluer",5,0)))))*100000000+IF(N(Q426)&gt;0,Q426,99999)*1000+ROW())</f>
        <v/>
      </c>
      <c r="AF426" s="59" t="str">
        <f>IF(X426&lt;&gt;"",X426,L426)</f>
        <v/>
      </c>
      <c r="AG426" s="59" t="str">
        <f>IF(X426&lt;&gt;"",Y426,IF(L426&lt;&gt;"",M426,""))</f>
        <v/>
      </c>
      <c r="AH426" s="59" t="str">
        <f>IF(L426="","",IF(X426&lt;&gt;"",U426,F426))</f>
        <v/>
      </c>
      <c r="AI426" s="59" t="str">
        <f>IF(L426="","",IF(X426&lt;&gt;"",V426,H426))</f>
        <v/>
      </c>
    </row>
    <row r="427" ht="30" customHeight="1">
      <c r="A427" s="50" t="n"/>
      <c r="B427" s="51" t="n"/>
      <c r="C427" s="51" t="n"/>
      <c r="D427" s="51" t="n"/>
      <c r="E427" s="51" t="n"/>
      <c r="F427" s="52" t="n"/>
      <c r="G427" s="51" t="n"/>
      <c r="H427" s="52" t="n"/>
      <c r="I427" s="51" t="n"/>
      <c r="J427" s="51" t="n"/>
      <c r="K427" s="52" t="n"/>
      <c r="L427" s="53" t="str">
        <f>IF(AND(IF(ISNUMBER(F427),AND(F427&gt;=1,F427&lt;=10,F427=INT(F427)),FALSE),IF(ISNUMBER(H427),AND(H427&gt;=1,H427&lt;=10,H427=INT(H427)),FALSE),IF(ISNUMBER(K427),AND(K427&gt;=1,K427&lt;=10,K427=INT(K427)),FALSE)),F427*H427*K427,"")</f>
        <v/>
      </c>
      <c r="M427" s="54" t="str">
        <f>IF(L427="",IF(D427="","","À coter"),IF(OR(F427&gt;=p_gmin,L427&gt;=p_ipr_crit),"Critique",IF(L427&gt;=p_ipr_act,"Élevée",IF(L427&gt;=p_ipr_watch,"Moyenne","Faible"))))</f>
        <v/>
      </c>
      <c r="N427" s="54" t="str">
        <f>IF(OR(M427="",M427="À coter"),"",IF(OR(M427="Critique",M427="Élevée"),"Oui","Non"))</f>
        <v/>
      </c>
      <c r="O427" s="51" t="n"/>
      <c r="P427" s="51" t="n"/>
      <c r="Q427" s="55" t="n"/>
      <c r="R427" s="50" t="n"/>
      <c r="S427" s="55" t="n"/>
      <c r="T427" s="56" t="n"/>
      <c r="U427" s="52" t="n"/>
      <c r="V427" s="52" t="n"/>
      <c r="W427" s="52" t="n"/>
      <c r="X427" s="53" t="str">
        <f>IF(AND(L427&lt;&gt;"",IF(ISNUMBER(U427),AND(U427&gt;=1,U427&lt;=10,U427=INT(U427)),FALSE),IF(ISNUMBER(V427),AND(V427&gt;=1,V427&lt;=10,V427=INT(V427)),FALSE),IF(ISNUMBER(W427),AND(W427&gt;=1,W427&lt;=10,W427=INT(W427)),FALSE)),U427*V427*W427,"")</f>
        <v/>
      </c>
      <c r="Y427" s="54" t="str">
        <f>IF(X427="","",IF(OR(U427&gt;=p_gmin,X427&gt;=p_ipr_crit),"Critique",IF(X427&gt;=p_ipr_act,"Élevée",IF(X427&gt;=p_ipr_watch,"Moyenne","Faible"))))</f>
        <v/>
      </c>
      <c r="Z427" s="57" t="str">
        <f>IF(X427="","",(L427-X427)/L427)</f>
        <v/>
      </c>
      <c r="AA427" s="54" t="str">
        <f>IF(AND(D427="",O427=""),"",IF(O427="",IF(N427="Oui","Action à définir",IF(N427="Non","Sans action","")),IF(R427="Annulée","Annulée",IF(R427="Réalisée",IF(X427="","À réévaluer","Réalisée"),IF(N(Q427)=0,"Échéance manquante",IF(Q427&lt;p_today,"En retard",IF(Q427-p_today&lt;=p_alert,"Échéance proche","Dans les délais")))))))</f>
        <v/>
      </c>
      <c r="AB427" s="58" t="str">
        <f>IF(AND(A427="",B427="",D427="",F427="",H427="",K427="",O427=""),"",IF(D427="","Mode de défaillance manquant",IF(AND(A427&lt;&gt;"",COUNTIF(am_num,A427)&gt;1),"N° en double",IF(F427="","Gravité G manquante",IF(NOT(IF(ISNUMBER(F427),AND(F427&gt;=1,F427&lt;=10,F427=INT(F427)),FALSE)),"G : entier de 1 à 10",IF(H427="","Occurrence O manquante",IF(NOT(IF(ISNUMBER(H427),AND(H427&gt;=1,H427&lt;=10,H427=INT(H427)),FALSE)),"O : entier de 1 à 10",IF(K427="","Détection D manquante",IF(NOT(IF(ISNUMBER(K427),AND(K427&gt;=1,K427&lt;=10,K427=INT(K427)),FALSE)),"D : entier de 1 à 10",IF(G427="","Cause manquante",IF(AND(O427&lt;&gt;"",P427=""),"Responsable manquant",IF(AND(R427&lt;&gt;"",O427=""),"Statut sans action",IF(AND(R427="Réalisée",N(S427)=0),"Date de réalisation manquante",IF(AND(T427&lt;&gt;"",IF(ISNUMBER(T427),T427&lt;0,TRUE)),"Coût invalide",IF(AND(COUNTBLANK(U427:W427)&gt;0,COUNTBLANK(U427:W427)&lt;3),"Cotation après action incomplète",IF(AND(COUNTBLANK(U427:W427)=0,X427=""),"G', O', D' : entiers de 1 à 10",IF(AND(X427&lt;&gt;"",X427&gt;L427),"IPR après action plus élevé","OK")))))))))))))))))</f>
        <v/>
      </c>
      <c r="AC427" s="59" t="str">
        <f>IF(OR(AA427="En retard",AA427="Échéance proche",AA427="Dans les délais",AA427="Échéance manquante",AA427="Action à définir",AA427="À réévaluer"),IF(OR(plan_who="",P427=plan_who),IF(N(Q427)&gt;0,Q427,99999)*1000+ROW(),""),"")</f>
        <v/>
      </c>
      <c r="AD427" s="59" t="str">
        <f>IF(L427="","",L427*1000+1000-ROW())</f>
        <v/>
      </c>
      <c r="AE427" s="59" t="str">
        <f>IF(IF(AA427="En retard",1,IF(AA427="Action à définir",2,IF(AA427="Échéance manquante",3,IF(AA427="Échéance proche",4,IF(AA427="À réévaluer",5,0)))))=0,"",IF(AA427="En retard",1,IF(AA427="Action à définir",2,IF(AA427="Échéance manquante",3,IF(AA427="Échéance proche",4,IF(AA427="À réévaluer",5,0)))))*100000000+IF(N(Q427)&gt;0,Q427,99999)*1000+ROW())</f>
        <v/>
      </c>
      <c r="AF427" s="59" t="str">
        <f>IF(X427&lt;&gt;"",X427,L427)</f>
        <v/>
      </c>
      <c r="AG427" s="59" t="str">
        <f>IF(X427&lt;&gt;"",Y427,IF(L427&lt;&gt;"",M427,""))</f>
        <v/>
      </c>
      <c r="AH427" s="59" t="str">
        <f>IF(L427="","",IF(X427&lt;&gt;"",U427,F427))</f>
        <v/>
      </c>
      <c r="AI427" s="59" t="str">
        <f>IF(L427="","",IF(X427&lt;&gt;"",V427,H427))</f>
        <v/>
      </c>
    </row>
    <row r="428" ht="30" customHeight="1">
      <c r="A428" s="50" t="n"/>
      <c r="B428" s="51" t="n"/>
      <c r="C428" s="51" t="n"/>
      <c r="D428" s="51" t="n"/>
      <c r="E428" s="51" t="n"/>
      <c r="F428" s="52" t="n"/>
      <c r="G428" s="51" t="n"/>
      <c r="H428" s="52" t="n"/>
      <c r="I428" s="51" t="n"/>
      <c r="J428" s="51" t="n"/>
      <c r="K428" s="52" t="n"/>
      <c r="L428" s="53" t="str">
        <f>IF(AND(IF(ISNUMBER(F428),AND(F428&gt;=1,F428&lt;=10,F428=INT(F428)),FALSE),IF(ISNUMBER(H428),AND(H428&gt;=1,H428&lt;=10,H428=INT(H428)),FALSE),IF(ISNUMBER(K428),AND(K428&gt;=1,K428&lt;=10,K428=INT(K428)),FALSE)),F428*H428*K428,"")</f>
        <v/>
      </c>
      <c r="M428" s="54" t="str">
        <f>IF(L428="",IF(D428="","","À coter"),IF(OR(F428&gt;=p_gmin,L428&gt;=p_ipr_crit),"Critique",IF(L428&gt;=p_ipr_act,"Élevée",IF(L428&gt;=p_ipr_watch,"Moyenne","Faible"))))</f>
        <v/>
      </c>
      <c r="N428" s="54" t="str">
        <f>IF(OR(M428="",M428="À coter"),"",IF(OR(M428="Critique",M428="Élevée"),"Oui","Non"))</f>
        <v/>
      </c>
      <c r="O428" s="51" t="n"/>
      <c r="P428" s="51" t="n"/>
      <c r="Q428" s="55" t="n"/>
      <c r="R428" s="50" t="n"/>
      <c r="S428" s="55" t="n"/>
      <c r="T428" s="56" t="n"/>
      <c r="U428" s="52" t="n"/>
      <c r="V428" s="52" t="n"/>
      <c r="W428" s="52" t="n"/>
      <c r="X428" s="53" t="str">
        <f>IF(AND(L428&lt;&gt;"",IF(ISNUMBER(U428),AND(U428&gt;=1,U428&lt;=10,U428=INT(U428)),FALSE),IF(ISNUMBER(V428),AND(V428&gt;=1,V428&lt;=10,V428=INT(V428)),FALSE),IF(ISNUMBER(W428),AND(W428&gt;=1,W428&lt;=10,W428=INT(W428)),FALSE)),U428*V428*W428,"")</f>
        <v/>
      </c>
      <c r="Y428" s="54" t="str">
        <f>IF(X428="","",IF(OR(U428&gt;=p_gmin,X428&gt;=p_ipr_crit),"Critique",IF(X428&gt;=p_ipr_act,"Élevée",IF(X428&gt;=p_ipr_watch,"Moyenne","Faible"))))</f>
        <v/>
      </c>
      <c r="Z428" s="57" t="str">
        <f>IF(X428="","",(L428-X428)/L428)</f>
        <v/>
      </c>
      <c r="AA428" s="54" t="str">
        <f>IF(AND(D428="",O428=""),"",IF(O428="",IF(N428="Oui","Action à définir",IF(N428="Non","Sans action","")),IF(R428="Annulée","Annulée",IF(R428="Réalisée",IF(X428="","À réévaluer","Réalisée"),IF(N(Q428)=0,"Échéance manquante",IF(Q428&lt;p_today,"En retard",IF(Q428-p_today&lt;=p_alert,"Échéance proche","Dans les délais")))))))</f>
        <v/>
      </c>
      <c r="AB428" s="58" t="str">
        <f>IF(AND(A428="",B428="",D428="",F428="",H428="",K428="",O428=""),"",IF(D428="","Mode de défaillance manquant",IF(AND(A428&lt;&gt;"",COUNTIF(am_num,A428)&gt;1),"N° en double",IF(F428="","Gravité G manquante",IF(NOT(IF(ISNUMBER(F428),AND(F428&gt;=1,F428&lt;=10,F428=INT(F428)),FALSE)),"G : entier de 1 à 10",IF(H428="","Occurrence O manquante",IF(NOT(IF(ISNUMBER(H428),AND(H428&gt;=1,H428&lt;=10,H428=INT(H428)),FALSE)),"O : entier de 1 à 10",IF(K428="","Détection D manquante",IF(NOT(IF(ISNUMBER(K428),AND(K428&gt;=1,K428&lt;=10,K428=INT(K428)),FALSE)),"D : entier de 1 à 10",IF(G428="","Cause manquante",IF(AND(O428&lt;&gt;"",P428=""),"Responsable manquant",IF(AND(R428&lt;&gt;"",O428=""),"Statut sans action",IF(AND(R428="Réalisée",N(S428)=0),"Date de réalisation manquante",IF(AND(T428&lt;&gt;"",IF(ISNUMBER(T428),T428&lt;0,TRUE)),"Coût invalide",IF(AND(COUNTBLANK(U428:W428)&gt;0,COUNTBLANK(U428:W428)&lt;3),"Cotation après action incomplète",IF(AND(COUNTBLANK(U428:W428)=0,X428=""),"G', O', D' : entiers de 1 à 10",IF(AND(X428&lt;&gt;"",X428&gt;L428),"IPR après action plus élevé","OK")))))))))))))))))</f>
        <v/>
      </c>
      <c r="AC428" s="59" t="str">
        <f>IF(OR(AA428="En retard",AA428="Échéance proche",AA428="Dans les délais",AA428="Échéance manquante",AA428="Action à définir",AA428="À réévaluer"),IF(OR(plan_who="",P428=plan_who),IF(N(Q428)&gt;0,Q428,99999)*1000+ROW(),""),"")</f>
        <v/>
      </c>
      <c r="AD428" s="59" t="str">
        <f>IF(L428="","",L428*1000+1000-ROW())</f>
        <v/>
      </c>
      <c r="AE428" s="59" t="str">
        <f>IF(IF(AA428="En retard",1,IF(AA428="Action à définir",2,IF(AA428="Échéance manquante",3,IF(AA428="Échéance proche",4,IF(AA428="À réévaluer",5,0)))))=0,"",IF(AA428="En retard",1,IF(AA428="Action à définir",2,IF(AA428="Échéance manquante",3,IF(AA428="Échéance proche",4,IF(AA428="À réévaluer",5,0)))))*100000000+IF(N(Q428)&gt;0,Q428,99999)*1000+ROW())</f>
        <v/>
      </c>
      <c r="AF428" s="59" t="str">
        <f>IF(X428&lt;&gt;"",X428,L428)</f>
        <v/>
      </c>
      <c r="AG428" s="59" t="str">
        <f>IF(X428&lt;&gt;"",Y428,IF(L428&lt;&gt;"",M428,""))</f>
        <v/>
      </c>
      <c r="AH428" s="59" t="str">
        <f>IF(L428="","",IF(X428&lt;&gt;"",U428,F428))</f>
        <v/>
      </c>
      <c r="AI428" s="59" t="str">
        <f>IF(L428="","",IF(X428&lt;&gt;"",V428,H428))</f>
        <v/>
      </c>
    </row>
    <row r="429" ht="30" customHeight="1">
      <c r="A429" s="50" t="n"/>
      <c r="B429" s="51" t="n"/>
      <c r="C429" s="51" t="n"/>
      <c r="D429" s="51" t="n"/>
      <c r="E429" s="51" t="n"/>
      <c r="F429" s="52" t="n"/>
      <c r="G429" s="51" t="n"/>
      <c r="H429" s="52" t="n"/>
      <c r="I429" s="51" t="n"/>
      <c r="J429" s="51" t="n"/>
      <c r="K429" s="52" t="n"/>
      <c r="L429" s="53" t="str">
        <f>IF(AND(IF(ISNUMBER(F429),AND(F429&gt;=1,F429&lt;=10,F429=INT(F429)),FALSE),IF(ISNUMBER(H429),AND(H429&gt;=1,H429&lt;=10,H429=INT(H429)),FALSE),IF(ISNUMBER(K429),AND(K429&gt;=1,K429&lt;=10,K429=INT(K429)),FALSE)),F429*H429*K429,"")</f>
        <v/>
      </c>
      <c r="M429" s="54" t="str">
        <f>IF(L429="",IF(D429="","","À coter"),IF(OR(F429&gt;=p_gmin,L429&gt;=p_ipr_crit),"Critique",IF(L429&gt;=p_ipr_act,"Élevée",IF(L429&gt;=p_ipr_watch,"Moyenne","Faible"))))</f>
        <v/>
      </c>
      <c r="N429" s="54" t="str">
        <f>IF(OR(M429="",M429="À coter"),"",IF(OR(M429="Critique",M429="Élevée"),"Oui","Non"))</f>
        <v/>
      </c>
      <c r="O429" s="51" t="n"/>
      <c r="P429" s="51" t="n"/>
      <c r="Q429" s="55" t="n"/>
      <c r="R429" s="50" t="n"/>
      <c r="S429" s="55" t="n"/>
      <c r="T429" s="56" t="n"/>
      <c r="U429" s="52" t="n"/>
      <c r="V429" s="52" t="n"/>
      <c r="W429" s="52" t="n"/>
      <c r="X429" s="53" t="str">
        <f>IF(AND(L429&lt;&gt;"",IF(ISNUMBER(U429),AND(U429&gt;=1,U429&lt;=10,U429=INT(U429)),FALSE),IF(ISNUMBER(V429),AND(V429&gt;=1,V429&lt;=10,V429=INT(V429)),FALSE),IF(ISNUMBER(W429),AND(W429&gt;=1,W429&lt;=10,W429=INT(W429)),FALSE)),U429*V429*W429,"")</f>
        <v/>
      </c>
      <c r="Y429" s="54" t="str">
        <f>IF(X429="","",IF(OR(U429&gt;=p_gmin,X429&gt;=p_ipr_crit),"Critique",IF(X429&gt;=p_ipr_act,"Élevée",IF(X429&gt;=p_ipr_watch,"Moyenne","Faible"))))</f>
        <v/>
      </c>
      <c r="Z429" s="57" t="str">
        <f>IF(X429="","",(L429-X429)/L429)</f>
        <v/>
      </c>
      <c r="AA429" s="54" t="str">
        <f>IF(AND(D429="",O429=""),"",IF(O429="",IF(N429="Oui","Action à définir",IF(N429="Non","Sans action","")),IF(R429="Annulée","Annulée",IF(R429="Réalisée",IF(X429="","À réévaluer","Réalisée"),IF(N(Q429)=0,"Échéance manquante",IF(Q429&lt;p_today,"En retard",IF(Q429-p_today&lt;=p_alert,"Échéance proche","Dans les délais")))))))</f>
        <v/>
      </c>
      <c r="AB429" s="58" t="str">
        <f>IF(AND(A429="",B429="",D429="",F429="",H429="",K429="",O429=""),"",IF(D429="","Mode de défaillance manquant",IF(AND(A429&lt;&gt;"",COUNTIF(am_num,A429)&gt;1),"N° en double",IF(F429="","Gravité G manquante",IF(NOT(IF(ISNUMBER(F429),AND(F429&gt;=1,F429&lt;=10,F429=INT(F429)),FALSE)),"G : entier de 1 à 10",IF(H429="","Occurrence O manquante",IF(NOT(IF(ISNUMBER(H429),AND(H429&gt;=1,H429&lt;=10,H429=INT(H429)),FALSE)),"O : entier de 1 à 10",IF(K429="","Détection D manquante",IF(NOT(IF(ISNUMBER(K429),AND(K429&gt;=1,K429&lt;=10,K429=INT(K429)),FALSE)),"D : entier de 1 à 10",IF(G429="","Cause manquante",IF(AND(O429&lt;&gt;"",P429=""),"Responsable manquant",IF(AND(R429&lt;&gt;"",O429=""),"Statut sans action",IF(AND(R429="Réalisée",N(S429)=0),"Date de réalisation manquante",IF(AND(T429&lt;&gt;"",IF(ISNUMBER(T429),T429&lt;0,TRUE)),"Coût invalide",IF(AND(COUNTBLANK(U429:W429)&gt;0,COUNTBLANK(U429:W429)&lt;3),"Cotation après action incomplète",IF(AND(COUNTBLANK(U429:W429)=0,X429=""),"G', O', D' : entiers de 1 à 10",IF(AND(X429&lt;&gt;"",X429&gt;L429),"IPR après action plus élevé","OK")))))))))))))))))</f>
        <v/>
      </c>
      <c r="AC429" s="59" t="str">
        <f>IF(OR(AA429="En retard",AA429="Échéance proche",AA429="Dans les délais",AA429="Échéance manquante",AA429="Action à définir",AA429="À réévaluer"),IF(OR(plan_who="",P429=plan_who),IF(N(Q429)&gt;0,Q429,99999)*1000+ROW(),""),"")</f>
        <v/>
      </c>
      <c r="AD429" s="59" t="str">
        <f>IF(L429="","",L429*1000+1000-ROW())</f>
        <v/>
      </c>
      <c r="AE429" s="59" t="str">
        <f>IF(IF(AA429="En retard",1,IF(AA429="Action à définir",2,IF(AA429="Échéance manquante",3,IF(AA429="Échéance proche",4,IF(AA429="À réévaluer",5,0)))))=0,"",IF(AA429="En retard",1,IF(AA429="Action à définir",2,IF(AA429="Échéance manquante",3,IF(AA429="Échéance proche",4,IF(AA429="À réévaluer",5,0)))))*100000000+IF(N(Q429)&gt;0,Q429,99999)*1000+ROW())</f>
        <v/>
      </c>
      <c r="AF429" s="59" t="str">
        <f>IF(X429&lt;&gt;"",X429,L429)</f>
        <v/>
      </c>
      <c r="AG429" s="59" t="str">
        <f>IF(X429&lt;&gt;"",Y429,IF(L429&lt;&gt;"",M429,""))</f>
        <v/>
      </c>
      <c r="AH429" s="59" t="str">
        <f>IF(L429="","",IF(X429&lt;&gt;"",U429,F429))</f>
        <v/>
      </c>
      <c r="AI429" s="59" t="str">
        <f>IF(L429="","",IF(X429&lt;&gt;"",V429,H429))</f>
        <v/>
      </c>
    </row>
    <row r="430" ht="30" customHeight="1">
      <c r="A430" s="50" t="n"/>
      <c r="B430" s="51" t="n"/>
      <c r="C430" s="51" t="n"/>
      <c r="D430" s="51" t="n"/>
      <c r="E430" s="51" t="n"/>
      <c r="F430" s="52" t="n"/>
      <c r="G430" s="51" t="n"/>
      <c r="H430" s="52" t="n"/>
      <c r="I430" s="51" t="n"/>
      <c r="J430" s="51" t="n"/>
      <c r="K430" s="52" t="n"/>
      <c r="L430" s="53" t="str">
        <f>IF(AND(IF(ISNUMBER(F430),AND(F430&gt;=1,F430&lt;=10,F430=INT(F430)),FALSE),IF(ISNUMBER(H430),AND(H430&gt;=1,H430&lt;=10,H430=INT(H430)),FALSE),IF(ISNUMBER(K430),AND(K430&gt;=1,K430&lt;=10,K430=INT(K430)),FALSE)),F430*H430*K430,"")</f>
        <v/>
      </c>
      <c r="M430" s="54" t="str">
        <f>IF(L430="",IF(D430="","","À coter"),IF(OR(F430&gt;=p_gmin,L430&gt;=p_ipr_crit),"Critique",IF(L430&gt;=p_ipr_act,"Élevée",IF(L430&gt;=p_ipr_watch,"Moyenne","Faible"))))</f>
        <v/>
      </c>
      <c r="N430" s="54" t="str">
        <f>IF(OR(M430="",M430="À coter"),"",IF(OR(M430="Critique",M430="Élevée"),"Oui","Non"))</f>
        <v/>
      </c>
      <c r="O430" s="51" t="n"/>
      <c r="P430" s="51" t="n"/>
      <c r="Q430" s="55" t="n"/>
      <c r="R430" s="50" t="n"/>
      <c r="S430" s="55" t="n"/>
      <c r="T430" s="56" t="n"/>
      <c r="U430" s="52" t="n"/>
      <c r="V430" s="52" t="n"/>
      <c r="W430" s="52" t="n"/>
      <c r="X430" s="53" t="str">
        <f>IF(AND(L430&lt;&gt;"",IF(ISNUMBER(U430),AND(U430&gt;=1,U430&lt;=10,U430=INT(U430)),FALSE),IF(ISNUMBER(V430),AND(V430&gt;=1,V430&lt;=10,V430=INT(V430)),FALSE),IF(ISNUMBER(W430),AND(W430&gt;=1,W430&lt;=10,W430=INT(W430)),FALSE)),U430*V430*W430,"")</f>
        <v/>
      </c>
      <c r="Y430" s="54" t="str">
        <f>IF(X430="","",IF(OR(U430&gt;=p_gmin,X430&gt;=p_ipr_crit),"Critique",IF(X430&gt;=p_ipr_act,"Élevée",IF(X430&gt;=p_ipr_watch,"Moyenne","Faible"))))</f>
        <v/>
      </c>
      <c r="Z430" s="57" t="str">
        <f>IF(X430="","",(L430-X430)/L430)</f>
        <v/>
      </c>
      <c r="AA430" s="54" t="str">
        <f>IF(AND(D430="",O430=""),"",IF(O430="",IF(N430="Oui","Action à définir",IF(N430="Non","Sans action","")),IF(R430="Annulée","Annulée",IF(R430="Réalisée",IF(X430="","À réévaluer","Réalisée"),IF(N(Q430)=0,"Échéance manquante",IF(Q430&lt;p_today,"En retard",IF(Q430-p_today&lt;=p_alert,"Échéance proche","Dans les délais")))))))</f>
        <v/>
      </c>
      <c r="AB430" s="58" t="str">
        <f>IF(AND(A430="",B430="",D430="",F430="",H430="",K430="",O430=""),"",IF(D430="","Mode de défaillance manquant",IF(AND(A430&lt;&gt;"",COUNTIF(am_num,A430)&gt;1),"N° en double",IF(F430="","Gravité G manquante",IF(NOT(IF(ISNUMBER(F430),AND(F430&gt;=1,F430&lt;=10,F430=INT(F430)),FALSE)),"G : entier de 1 à 10",IF(H430="","Occurrence O manquante",IF(NOT(IF(ISNUMBER(H430),AND(H430&gt;=1,H430&lt;=10,H430=INT(H430)),FALSE)),"O : entier de 1 à 10",IF(K430="","Détection D manquante",IF(NOT(IF(ISNUMBER(K430),AND(K430&gt;=1,K430&lt;=10,K430=INT(K430)),FALSE)),"D : entier de 1 à 10",IF(G430="","Cause manquante",IF(AND(O430&lt;&gt;"",P430=""),"Responsable manquant",IF(AND(R430&lt;&gt;"",O430=""),"Statut sans action",IF(AND(R430="Réalisée",N(S430)=0),"Date de réalisation manquante",IF(AND(T430&lt;&gt;"",IF(ISNUMBER(T430),T430&lt;0,TRUE)),"Coût invalide",IF(AND(COUNTBLANK(U430:W430)&gt;0,COUNTBLANK(U430:W430)&lt;3),"Cotation après action incomplète",IF(AND(COUNTBLANK(U430:W430)=0,X430=""),"G', O', D' : entiers de 1 à 10",IF(AND(X430&lt;&gt;"",X430&gt;L430),"IPR après action plus élevé","OK")))))))))))))))))</f>
        <v/>
      </c>
      <c r="AC430" s="59" t="str">
        <f>IF(OR(AA430="En retard",AA430="Échéance proche",AA430="Dans les délais",AA430="Échéance manquante",AA430="Action à définir",AA430="À réévaluer"),IF(OR(plan_who="",P430=plan_who),IF(N(Q430)&gt;0,Q430,99999)*1000+ROW(),""),"")</f>
        <v/>
      </c>
      <c r="AD430" s="59" t="str">
        <f>IF(L430="","",L430*1000+1000-ROW())</f>
        <v/>
      </c>
      <c r="AE430" s="59" t="str">
        <f>IF(IF(AA430="En retard",1,IF(AA430="Action à définir",2,IF(AA430="Échéance manquante",3,IF(AA430="Échéance proche",4,IF(AA430="À réévaluer",5,0)))))=0,"",IF(AA430="En retard",1,IF(AA430="Action à définir",2,IF(AA430="Échéance manquante",3,IF(AA430="Échéance proche",4,IF(AA430="À réévaluer",5,0)))))*100000000+IF(N(Q430)&gt;0,Q430,99999)*1000+ROW())</f>
        <v/>
      </c>
      <c r="AF430" s="59" t="str">
        <f>IF(X430&lt;&gt;"",X430,L430)</f>
        <v/>
      </c>
      <c r="AG430" s="59" t="str">
        <f>IF(X430&lt;&gt;"",Y430,IF(L430&lt;&gt;"",M430,""))</f>
        <v/>
      </c>
      <c r="AH430" s="59" t="str">
        <f>IF(L430="","",IF(X430&lt;&gt;"",U430,F430))</f>
        <v/>
      </c>
      <c r="AI430" s="59" t="str">
        <f>IF(L430="","",IF(X430&lt;&gt;"",V430,H430))</f>
        <v/>
      </c>
    </row>
    <row r="431" ht="30" customHeight="1">
      <c r="A431" s="50" t="n"/>
      <c r="B431" s="51" t="n"/>
      <c r="C431" s="51" t="n"/>
      <c r="D431" s="51" t="n"/>
      <c r="E431" s="51" t="n"/>
      <c r="F431" s="52" t="n"/>
      <c r="G431" s="51" t="n"/>
      <c r="H431" s="52" t="n"/>
      <c r="I431" s="51" t="n"/>
      <c r="J431" s="51" t="n"/>
      <c r="K431" s="52" t="n"/>
      <c r="L431" s="53" t="str">
        <f>IF(AND(IF(ISNUMBER(F431),AND(F431&gt;=1,F431&lt;=10,F431=INT(F431)),FALSE),IF(ISNUMBER(H431),AND(H431&gt;=1,H431&lt;=10,H431=INT(H431)),FALSE),IF(ISNUMBER(K431),AND(K431&gt;=1,K431&lt;=10,K431=INT(K431)),FALSE)),F431*H431*K431,"")</f>
        <v/>
      </c>
      <c r="M431" s="54" t="str">
        <f>IF(L431="",IF(D431="","","À coter"),IF(OR(F431&gt;=p_gmin,L431&gt;=p_ipr_crit),"Critique",IF(L431&gt;=p_ipr_act,"Élevée",IF(L431&gt;=p_ipr_watch,"Moyenne","Faible"))))</f>
        <v/>
      </c>
      <c r="N431" s="54" t="str">
        <f>IF(OR(M431="",M431="À coter"),"",IF(OR(M431="Critique",M431="Élevée"),"Oui","Non"))</f>
        <v/>
      </c>
      <c r="O431" s="51" t="n"/>
      <c r="P431" s="51" t="n"/>
      <c r="Q431" s="55" t="n"/>
      <c r="R431" s="50" t="n"/>
      <c r="S431" s="55" t="n"/>
      <c r="T431" s="56" t="n"/>
      <c r="U431" s="52" t="n"/>
      <c r="V431" s="52" t="n"/>
      <c r="W431" s="52" t="n"/>
      <c r="X431" s="53" t="str">
        <f>IF(AND(L431&lt;&gt;"",IF(ISNUMBER(U431),AND(U431&gt;=1,U431&lt;=10,U431=INT(U431)),FALSE),IF(ISNUMBER(V431),AND(V431&gt;=1,V431&lt;=10,V431=INT(V431)),FALSE),IF(ISNUMBER(W431),AND(W431&gt;=1,W431&lt;=10,W431=INT(W431)),FALSE)),U431*V431*W431,"")</f>
        <v/>
      </c>
      <c r="Y431" s="54" t="str">
        <f>IF(X431="","",IF(OR(U431&gt;=p_gmin,X431&gt;=p_ipr_crit),"Critique",IF(X431&gt;=p_ipr_act,"Élevée",IF(X431&gt;=p_ipr_watch,"Moyenne","Faible"))))</f>
        <v/>
      </c>
      <c r="Z431" s="57" t="str">
        <f>IF(X431="","",(L431-X431)/L431)</f>
        <v/>
      </c>
      <c r="AA431" s="54" t="str">
        <f>IF(AND(D431="",O431=""),"",IF(O431="",IF(N431="Oui","Action à définir",IF(N431="Non","Sans action","")),IF(R431="Annulée","Annulée",IF(R431="Réalisée",IF(X431="","À réévaluer","Réalisée"),IF(N(Q431)=0,"Échéance manquante",IF(Q431&lt;p_today,"En retard",IF(Q431-p_today&lt;=p_alert,"Échéance proche","Dans les délais")))))))</f>
        <v/>
      </c>
      <c r="AB431" s="58" t="str">
        <f>IF(AND(A431="",B431="",D431="",F431="",H431="",K431="",O431=""),"",IF(D431="","Mode de défaillance manquant",IF(AND(A431&lt;&gt;"",COUNTIF(am_num,A431)&gt;1),"N° en double",IF(F431="","Gravité G manquante",IF(NOT(IF(ISNUMBER(F431),AND(F431&gt;=1,F431&lt;=10,F431=INT(F431)),FALSE)),"G : entier de 1 à 10",IF(H431="","Occurrence O manquante",IF(NOT(IF(ISNUMBER(H431),AND(H431&gt;=1,H431&lt;=10,H431=INT(H431)),FALSE)),"O : entier de 1 à 10",IF(K431="","Détection D manquante",IF(NOT(IF(ISNUMBER(K431),AND(K431&gt;=1,K431&lt;=10,K431=INT(K431)),FALSE)),"D : entier de 1 à 10",IF(G431="","Cause manquante",IF(AND(O431&lt;&gt;"",P431=""),"Responsable manquant",IF(AND(R431&lt;&gt;"",O431=""),"Statut sans action",IF(AND(R431="Réalisée",N(S431)=0),"Date de réalisation manquante",IF(AND(T431&lt;&gt;"",IF(ISNUMBER(T431),T431&lt;0,TRUE)),"Coût invalide",IF(AND(COUNTBLANK(U431:W431)&gt;0,COUNTBLANK(U431:W431)&lt;3),"Cotation après action incomplète",IF(AND(COUNTBLANK(U431:W431)=0,X431=""),"G', O', D' : entiers de 1 à 10",IF(AND(X431&lt;&gt;"",X431&gt;L431),"IPR après action plus élevé","OK")))))))))))))))))</f>
        <v/>
      </c>
      <c r="AC431" s="59" t="str">
        <f>IF(OR(AA431="En retard",AA431="Échéance proche",AA431="Dans les délais",AA431="Échéance manquante",AA431="Action à définir",AA431="À réévaluer"),IF(OR(plan_who="",P431=plan_who),IF(N(Q431)&gt;0,Q431,99999)*1000+ROW(),""),"")</f>
        <v/>
      </c>
      <c r="AD431" s="59" t="str">
        <f>IF(L431="","",L431*1000+1000-ROW())</f>
        <v/>
      </c>
      <c r="AE431" s="59" t="str">
        <f>IF(IF(AA431="En retard",1,IF(AA431="Action à définir",2,IF(AA431="Échéance manquante",3,IF(AA431="Échéance proche",4,IF(AA431="À réévaluer",5,0)))))=0,"",IF(AA431="En retard",1,IF(AA431="Action à définir",2,IF(AA431="Échéance manquante",3,IF(AA431="Échéance proche",4,IF(AA431="À réévaluer",5,0)))))*100000000+IF(N(Q431)&gt;0,Q431,99999)*1000+ROW())</f>
        <v/>
      </c>
      <c r="AF431" s="59" t="str">
        <f>IF(X431&lt;&gt;"",X431,L431)</f>
        <v/>
      </c>
      <c r="AG431" s="59" t="str">
        <f>IF(X431&lt;&gt;"",Y431,IF(L431&lt;&gt;"",M431,""))</f>
        <v/>
      </c>
      <c r="AH431" s="59" t="str">
        <f>IF(L431="","",IF(X431&lt;&gt;"",U431,F431))</f>
        <v/>
      </c>
      <c r="AI431" s="59" t="str">
        <f>IF(L431="","",IF(X431&lt;&gt;"",V431,H431))</f>
        <v/>
      </c>
    </row>
    <row r="432" ht="30" customHeight="1">
      <c r="A432" s="50" t="n"/>
      <c r="B432" s="51" t="n"/>
      <c r="C432" s="51" t="n"/>
      <c r="D432" s="51" t="n"/>
      <c r="E432" s="51" t="n"/>
      <c r="F432" s="52" t="n"/>
      <c r="G432" s="51" t="n"/>
      <c r="H432" s="52" t="n"/>
      <c r="I432" s="51" t="n"/>
      <c r="J432" s="51" t="n"/>
      <c r="K432" s="52" t="n"/>
      <c r="L432" s="53" t="str">
        <f>IF(AND(IF(ISNUMBER(F432),AND(F432&gt;=1,F432&lt;=10,F432=INT(F432)),FALSE),IF(ISNUMBER(H432),AND(H432&gt;=1,H432&lt;=10,H432=INT(H432)),FALSE),IF(ISNUMBER(K432),AND(K432&gt;=1,K432&lt;=10,K432=INT(K432)),FALSE)),F432*H432*K432,"")</f>
        <v/>
      </c>
      <c r="M432" s="54" t="str">
        <f>IF(L432="",IF(D432="","","À coter"),IF(OR(F432&gt;=p_gmin,L432&gt;=p_ipr_crit),"Critique",IF(L432&gt;=p_ipr_act,"Élevée",IF(L432&gt;=p_ipr_watch,"Moyenne","Faible"))))</f>
        <v/>
      </c>
      <c r="N432" s="54" t="str">
        <f>IF(OR(M432="",M432="À coter"),"",IF(OR(M432="Critique",M432="Élevée"),"Oui","Non"))</f>
        <v/>
      </c>
      <c r="O432" s="51" t="n"/>
      <c r="P432" s="51" t="n"/>
      <c r="Q432" s="55" t="n"/>
      <c r="R432" s="50" t="n"/>
      <c r="S432" s="55" t="n"/>
      <c r="T432" s="56" t="n"/>
      <c r="U432" s="52" t="n"/>
      <c r="V432" s="52" t="n"/>
      <c r="W432" s="52" t="n"/>
      <c r="X432" s="53" t="str">
        <f>IF(AND(L432&lt;&gt;"",IF(ISNUMBER(U432),AND(U432&gt;=1,U432&lt;=10,U432=INT(U432)),FALSE),IF(ISNUMBER(V432),AND(V432&gt;=1,V432&lt;=10,V432=INT(V432)),FALSE),IF(ISNUMBER(W432),AND(W432&gt;=1,W432&lt;=10,W432=INT(W432)),FALSE)),U432*V432*W432,"")</f>
        <v/>
      </c>
      <c r="Y432" s="54" t="str">
        <f>IF(X432="","",IF(OR(U432&gt;=p_gmin,X432&gt;=p_ipr_crit),"Critique",IF(X432&gt;=p_ipr_act,"Élevée",IF(X432&gt;=p_ipr_watch,"Moyenne","Faible"))))</f>
        <v/>
      </c>
      <c r="Z432" s="57" t="str">
        <f>IF(X432="","",(L432-X432)/L432)</f>
        <v/>
      </c>
      <c r="AA432" s="54" t="str">
        <f>IF(AND(D432="",O432=""),"",IF(O432="",IF(N432="Oui","Action à définir",IF(N432="Non","Sans action","")),IF(R432="Annulée","Annulée",IF(R432="Réalisée",IF(X432="","À réévaluer","Réalisée"),IF(N(Q432)=0,"Échéance manquante",IF(Q432&lt;p_today,"En retard",IF(Q432-p_today&lt;=p_alert,"Échéance proche","Dans les délais")))))))</f>
        <v/>
      </c>
      <c r="AB432" s="58" t="str">
        <f>IF(AND(A432="",B432="",D432="",F432="",H432="",K432="",O432=""),"",IF(D432="","Mode de défaillance manquant",IF(AND(A432&lt;&gt;"",COUNTIF(am_num,A432)&gt;1),"N° en double",IF(F432="","Gravité G manquante",IF(NOT(IF(ISNUMBER(F432),AND(F432&gt;=1,F432&lt;=10,F432=INT(F432)),FALSE)),"G : entier de 1 à 10",IF(H432="","Occurrence O manquante",IF(NOT(IF(ISNUMBER(H432),AND(H432&gt;=1,H432&lt;=10,H432=INT(H432)),FALSE)),"O : entier de 1 à 10",IF(K432="","Détection D manquante",IF(NOT(IF(ISNUMBER(K432),AND(K432&gt;=1,K432&lt;=10,K432=INT(K432)),FALSE)),"D : entier de 1 à 10",IF(G432="","Cause manquante",IF(AND(O432&lt;&gt;"",P432=""),"Responsable manquant",IF(AND(R432&lt;&gt;"",O432=""),"Statut sans action",IF(AND(R432="Réalisée",N(S432)=0),"Date de réalisation manquante",IF(AND(T432&lt;&gt;"",IF(ISNUMBER(T432),T432&lt;0,TRUE)),"Coût invalide",IF(AND(COUNTBLANK(U432:W432)&gt;0,COUNTBLANK(U432:W432)&lt;3),"Cotation après action incomplète",IF(AND(COUNTBLANK(U432:W432)=0,X432=""),"G', O', D' : entiers de 1 à 10",IF(AND(X432&lt;&gt;"",X432&gt;L432),"IPR après action plus élevé","OK")))))))))))))))))</f>
        <v/>
      </c>
      <c r="AC432" s="59" t="str">
        <f>IF(OR(AA432="En retard",AA432="Échéance proche",AA432="Dans les délais",AA432="Échéance manquante",AA432="Action à définir",AA432="À réévaluer"),IF(OR(plan_who="",P432=plan_who),IF(N(Q432)&gt;0,Q432,99999)*1000+ROW(),""),"")</f>
        <v/>
      </c>
      <c r="AD432" s="59" t="str">
        <f>IF(L432="","",L432*1000+1000-ROW())</f>
        <v/>
      </c>
      <c r="AE432" s="59" t="str">
        <f>IF(IF(AA432="En retard",1,IF(AA432="Action à définir",2,IF(AA432="Échéance manquante",3,IF(AA432="Échéance proche",4,IF(AA432="À réévaluer",5,0)))))=0,"",IF(AA432="En retard",1,IF(AA432="Action à définir",2,IF(AA432="Échéance manquante",3,IF(AA432="Échéance proche",4,IF(AA432="À réévaluer",5,0)))))*100000000+IF(N(Q432)&gt;0,Q432,99999)*1000+ROW())</f>
        <v/>
      </c>
      <c r="AF432" s="59" t="str">
        <f>IF(X432&lt;&gt;"",X432,L432)</f>
        <v/>
      </c>
      <c r="AG432" s="59" t="str">
        <f>IF(X432&lt;&gt;"",Y432,IF(L432&lt;&gt;"",M432,""))</f>
        <v/>
      </c>
      <c r="AH432" s="59" t="str">
        <f>IF(L432="","",IF(X432&lt;&gt;"",U432,F432))</f>
        <v/>
      </c>
      <c r="AI432" s="59" t="str">
        <f>IF(L432="","",IF(X432&lt;&gt;"",V432,H432))</f>
        <v/>
      </c>
    </row>
    <row r="433" ht="30" customHeight="1">
      <c r="A433" s="50" t="n"/>
      <c r="B433" s="51" t="n"/>
      <c r="C433" s="51" t="n"/>
      <c r="D433" s="51" t="n"/>
      <c r="E433" s="51" t="n"/>
      <c r="F433" s="52" t="n"/>
      <c r="G433" s="51" t="n"/>
      <c r="H433" s="52" t="n"/>
      <c r="I433" s="51" t="n"/>
      <c r="J433" s="51" t="n"/>
      <c r="K433" s="52" t="n"/>
      <c r="L433" s="53" t="str">
        <f>IF(AND(IF(ISNUMBER(F433),AND(F433&gt;=1,F433&lt;=10,F433=INT(F433)),FALSE),IF(ISNUMBER(H433),AND(H433&gt;=1,H433&lt;=10,H433=INT(H433)),FALSE),IF(ISNUMBER(K433),AND(K433&gt;=1,K433&lt;=10,K433=INT(K433)),FALSE)),F433*H433*K433,"")</f>
        <v/>
      </c>
      <c r="M433" s="54" t="str">
        <f>IF(L433="",IF(D433="","","À coter"),IF(OR(F433&gt;=p_gmin,L433&gt;=p_ipr_crit),"Critique",IF(L433&gt;=p_ipr_act,"Élevée",IF(L433&gt;=p_ipr_watch,"Moyenne","Faible"))))</f>
        <v/>
      </c>
      <c r="N433" s="54" t="str">
        <f>IF(OR(M433="",M433="À coter"),"",IF(OR(M433="Critique",M433="Élevée"),"Oui","Non"))</f>
        <v/>
      </c>
      <c r="O433" s="51" t="n"/>
      <c r="P433" s="51" t="n"/>
      <c r="Q433" s="55" t="n"/>
      <c r="R433" s="50" t="n"/>
      <c r="S433" s="55" t="n"/>
      <c r="T433" s="56" t="n"/>
      <c r="U433" s="52" t="n"/>
      <c r="V433" s="52" t="n"/>
      <c r="W433" s="52" t="n"/>
      <c r="X433" s="53" t="str">
        <f>IF(AND(L433&lt;&gt;"",IF(ISNUMBER(U433),AND(U433&gt;=1,U433&lt;=10,U433=INT(U433)),FALSE),IF(ISNUMBER(V433),AND(V433&gt;=1,V433&lt;=10,V433=INT(V433)),FALSE),IF(ISNUMBER(W433),AND(W433&gt;=1,W433&lt;=10,W433=INT(W433)),FALSE)),U433*V433*W433,"")</f>
        <v/>
      </c>
      <c r="Y433" s="54" t="str">
        <f>IF(X433="","",IF(OR(U433&gt;=p_gmin,X433&gt;=p_ipr_crit),"Critique",IF(X433&gt;=p_ipr_act,"Élevée",IF(X433&gt;=p_ipr_watch,"Moyenne","Faible"))))</f>
        <v/>
      </c>
      <c r="Z433" s="57" t="str">
        <f>IF(X433="","",(L433-X433)/L433)</f>
        <v/>
      </c>
      <c r="AA433" s="54" t="str">
        <f>IF(AND(D433="",O433=""),"",IF(O433="",IF(N433="Oui","Action à définir",IF(N433="Non","Sans action","")),IF(R433="Annulée","Annulée",IF(R433="Réalisée",IF(X433="","À réévaluer","Réalisée"),IF(N(Q433)=0,"Échéance manquante",IF(Q433&lt;p_today,"En retard",IF(Q433-p_today&lt;=p_alert,"Échéance proche","Dans les délais")))))))</f>
        <v/>
      </c>
      <c r="AB433" s="58" t="str">
        <f>IF(AND(A433="",B433="",D433="",F433="",H433="",K433="",O433=""),"",IF(D433="","Mode de défaillance manquant",IF(AND(A433&lt;&gt;"",COUNTIF(am_num,A433)&gt;1),"N° en double",IF(F433="","Gravité G manquante",IF(NOT(IF(ISNUMBER(F433),AND(F433&gt;=1,F433&lt;=10,F433=INT(F433)),FALSE)),"G : entier de 1 à 10",IF(H433="","Occurrence O manquante",IF(NOT(IF(ISNUMBER(H433),AND(H433&gt;=1,H433&lt;=10,H433=INT(H433)),FALSE)),"O : entier de 1 à 10",IF(K433="","Détection D manquante",IF(NOT(IF(ISNUMBER(K433),AND(K433&gt;=1,K433&lt;=10,K433=INT(K433)),FALSE)),"D : entier de 1 à 10",IF(G433="","Cause manquante",IF(AND(O433&lt;&gt;"",P433=""),"Responsable manquant",IF(AND(R433&lt;&gt;"",O433=""),"Statut sans action",IF(AND(R433="Réalisée",N(S433)=0),"Date de réalisation manquante",IF(AND(T433&lt;&gt;"",IF(ISNUMBER(T433),T433&lt;0,TRUE)),"Coût invalide",IF(AND(COUNTBLANK(U433:W433)&gt;0,COUNTBLANK(U433:W433)&lt;3),"Cotation après action incomplète",IF(AND(COUNTBLANK(U433:W433)=0,X433=""),"G', O', D' : entiers de 1 à 10",IF(AND(X433&lt;&gt;"",X433&gt;L433),"IPR après action plus élevé","OK")))))))))))))))))</f>
        <v/>
      </c>
      <c r="AC433" s="59" t="str">
        <f>IF(OR(AA433="En retard",AA433="Échéance proche",AA433="Dans les délais",AA433="Échéance manquante",AA433="Action à définir",AA433="À réévaluer"),IF(OR(plan_who="",P433=plan_who),IF(N(Q433)&gt;0,Q433,99999)*1000+ROW(),""),"")</f>
        <v/>
      </c>
      <c r="AD433" s="59" t="str">
        <f>IF(L433="","",L433*1000+1000-ROW())</f>
        <v/>
      </c>
      <c r="AE433" s="59" t="str">
        <f>IF(IF(AA433="En retard",1,IF(AA433="Action à définir",2,IF(AA433="Échéance manquante",3,IF(AA433="Échéance proche",4,IF(AA433="À réévaluer",5,0)))))=0,"",IF(AA433="En retard",1,IF(AA433="Action à définir",2,IF(AA433="Échéance manquante",3,IF(AA433="Échéance proche",4,IF(AA433="À réévaluer",5,0)))))*100000000+IF(N(Q433)&gt;0,Q433,99999)*1000+ROW())</f>
        <v/>
      </c>
      <c r="AF433" s="59" t="str">
        <f>IF(X433&lt;&gt;"",X433,L433)</f>
        <v/>
      </c>
      <c r="AG433" s="59" t="str">
        <f>IF(X433&lt;&gt;"",Y433,IF(L433&lt;&gt;"",M433,""))</f>
        <v/>
      </c>
      <c r="AH433" s="59" t="str">
        <f>IF(L433="","",IF(X433&lt;&gt;"",U433,F433))</f>
        <v/>
      </c>
      <c r="AI433" s="59" t="str">
        <f>IF(L433="","",IF(X433&lt;&gt;"",V433,H433))</f>
        <v/>
      </c>
    </row>
    <row r="434" ht="30" customHeight="1">
      <c r="A434" s="50" t="n"/>
      <c r="B434" s="51" t="n"/>
      <c r="C434" s="51" t="n"/>
      <c r="D434" s="51" t="n"/>
      <c r="E434" s="51" t="n"/>
      <c r="F434" s="52" t="n"/>
      <c r="G434" s="51" t="n"/>
      <c r="H434" s="52" t="n"/>
      <c r="I434" s="51" t="n"/>
      <c r="J434" s="51" t="n"/>
      <c r="K434" s="52" t="n"/>
      <c r="L434" s="53" t="str">
        <f>IF(AND(IF(ISNUMBER(F434),AND(F434&gt;=1,F434&lt;=10,F434=INT(F434)),FALSE),IF(ISNUMBER(H434),AND(H434&gt;=1,H434&lt;=10,H434=INT(H434)),FALSE),IF(ISNUMBER(K434),AND(K434&gt;=1,K434&lt;=10,K434=INT(K434)),FALSE)),F434*H434*K434,"")</f>
        <v/>
      </c>
      <c r="M434" s="54" t="str">
        <f>IF(L434="",IF(D434="","","À coter"),IF(OR(F434&gt;=p_gmin,L434&gt;=p_ipr_crit),"Critique",IF(L434&gt;=p_ipr_act,"Élevée",IF(L434&gt;=p_ipr_watch,"Moyenne","Faible"))))</f>
        <v/>
      </c>
      <c r="N434" s="54" t="str">
        <f>IF(OR(M434="",M434="À coter"),"",IF(OR(M434="Critique",M434="Élevée"),"Oui","Non"))</f>
        <v/>
      </c>
      <c r="O434" s="51" t="n"/>
      <c r="P434" s="51" t="n"/>
      <c r="Q434" s="55" t="n"/>
      <c r="R434" s="50" t="n"/>
      <c r="S434" s="55" t="n"/>
      <c r="T434" s="56" t="n"/>
      <c r="U434" s="52" t="n"/>
      <c r="V434" s="52" t="n"/>
      <c r="W434" s="52" t="n"/>
      <c r="X434" s="53" t="str">
        <f>IF(AND(L434&lt;&gt;"",IF(ISNUMBER(U434),AND(U434&gt;=1,U434&lt;=10,U434=INT(U434)),FALSE),IF(ISNUMBER(V434),AND(V434&gt;=1,V434&lt;=10,V434=INT(V434)),FALSE),IF(ISNUMBER(W434),AND(W434&gt;=1,W434&lt;=10,W434=INT(W434)),FALSE)),U434*V434*W434,"")</f>
        <v/>
      </c>
      <c r="Y434" s="54" t="str">
        <f>IF(X434="","",IF(OR(U434&gt;=p_gmin,X434&gt;=p_ipr_crit),"Critique",IF(X434&gt;=p_ipr_act,"Élevée",IF(X434&gt;=p_ipr_watch,"Moyenne","Faible"))))</f>
        <v/>
      </c>
      <c r="Z434" s="57" t="str">
        <f>IF(X434="","",(L434-X434)/L434)</f>
        <v/>
      </c>
      <c r="AA434" s="54" t="str">
        <f>IF(AND(D434="",O434=""),"",IF(O434="",IF(N434="Oui","Action à définir",IF(N434="Non","Sans action","")),IF(R434="Annulée","Annulée",IF(R434="Réalisée",IF(X434="","À réévaluer","Réalisée"),IF(N(Q434)=0,"Échéance manquante",IF(Q434&lt;p_today,"En retard",IF(Q434-p_today&lt;=p_alert,"Échéance proche","Dans les délais")))))))</f>
        <v/>
      </c>
      <c r="AB434" s="58" t="str">
        <f>IF(AND(A434="",B434="",D434="",F434="",H434="",K434="",O434=""),"",IF(D434="","Mode de défaillance manquant",IF(AND(A434&lt;&gt;"",COUNTIF(am_num,A434)&gt;1),"N° en double",IF(F434="","Gravité G manquante",IF(NOT(IF(ISNUMBER(F434),AND(F434&gt;=1,F434&lt;=10,F434=INT(F434)),FALSE)),"G : entier de 1 à 10",IF(H434="","Occurrence O manquante",IF(NOT(IF(ISNUMBER(H434),AND(H434&gt;=1,H434&lt;=10,H434=INT(H434)),FALSE)),"O : entier de 1 à 10",IF(K434="","Détection D manquante",IF(NOT(IF(ISNUMBER(K434),AND(K434&gt;=1,K434&lt;=10,K434=INT(K434)),FALSE)),"D : entier de 1 à 10",IF(G434="","Cause manquante",IF(AND(O434&lt;&gt;"",P434=""),"Responsable manquant",IF(AND(R434&lt;&gt;"",O434=""),"Statut sans action",IF(AND(R434="Réalisée",N(S434)=0),"Date de réalisation manquante",IF(AND(T434&lt;&gt;"",IF(ISNUMBER(T434),T434&lt;0,TRUE)),"Coût invalide",IF(AND(COUNTBLANK(U434:W434)&gt;0,COUNTBLANK(U434:W434)&lt;3),"Cotation après action incomplète",IF(AND(COUNTBLANK(U434:W434)=0,X434=""),"G', O', D' : entiers de 1 à 10",IF(AND(X434&lt;&gt;"",X434&gt;L434),"IPR après action plus élevé","OK")))))))))))))))))</f>
        <v/>
      </c>
      <c r="AC434" s="59" t="str">
        <f>IF(OR(AA434="En retard",AA434="Échéance proche",AA434="Dans les délais",AA434="Échéance manquante",AA434="Action à définir",AA434="À réévaluer"),IF(OR(plan_who="",P434=plan_who),IF(N(Q434)&gt;0,Q434,99999)*1000+ROW(),""),"")</f>
        <v/>
      </c>
      <c r="AD434" s="59" t="str">
        <f>IF(L434="","",L434*1000+1000-ROW())</f>
        <v/>
      </c>
      <c r="AE434" s="59" t="str">
        <f>IF(IF(AA434="En retard",1,IF(AA434="Action à définir",2,IF(AA434="Échéance manquante",3,IF(AA434="Échéance proche",4,IF(AA434="À réévaluer",5,0)))))=0,"",IF(AA434="En retard",1,IF(AA434="Action à définir",2,IF(AA434="Échéance manquante",3,IF(AA434="Échéance proche",4,IF(AA434="À réévaluer",5,0)))))*100000000+IF(N(Q434)&gt;0,Q434,99999)*1000+ROW())</f>
        <v/>
      </c>
      <c r="AF434" s="59" t="str">
        <f>IF(X434&lt;&gt;"",X434,L434)</f>
        <v/>
      </c>
      <c r="AG434" s="59" t="str">
        <f>IF(X434&lt;&gt;"",Y434,IF(L434&lt;&gt;"",M434,""))</f>
        <v/>
      </c>
      <c r="AH434" s="59" t="str">
        <f>IF(L434="","",IF(X434&lt;&gt;"",U434,F434))</f>
        <v/>
      </c>
      <c r="AI434" s="59" t="str">
        <f>IF(L434="","",IF(X434&lt;&gt;"",V434,H434))</f>
        <v/>
      </c>
    </row>
    <row r="435" ht="30" customHeight="1">
      <c r="A435" s="50" t="n"/>
      <c r="B435" s="51" t="n"/>
      <c r="C435" s="51" t="n"/>
      <c r="D435" s="51" t="n"/>
      <c r="E435" s="51" t="n"/>
      <c r="F435" s="52" t="n"/>
      <c r="G435" s="51" t="n"/>
      <c r="H435" s="52" t="n"/>
      <c r="I435" s="51" t="n"/>
      <c r="J435" s="51" t="n"/>
      <c r="K435" s="52" t="n"/>
      <c r="L435" s="53" t="str">
        <f>IF(AND(IF(ISNUMBER(F435),AND(F435&gt;=1,F435&lt;=10,F435=INT(F435)),FALSE),IF(ISNUMBER(H435),AND(H435&gt;=1,H435&lt;=10,H435=INT(H435)),FALSE),IF(ISNUMBER(K435),AND(K435&gt;=1,K435&lt;=10,K435=INT(K435)),FALSE)),F435*H435*K435,"")</f>
        <v/>
      </c>
      <c r="M435" s="54" t="str">
        <f>IF(L435="",IF(D435="","","À coter"),IF(OR(F435&gt;=p_gmin,L435&gt;=p_ipr_crit),"Critique",IF(L435&gt;=p_ipr_act,"Élevée",IF(L435&gt;=p_ipr_watch,"Moyenne","Faible"))))</f>
        <v/>
      </c>
      <c r="N435" s="54" t="str">
        <f>IF(OR(M435="",M435="À coter"),"",IF(OR(M435="Critique",M435="Élevée"),"Oui","Non"))</f>
        <v/>
      </c>
      <c r="O435" s="51" t="n"/>
      <c r="P435" s="51" t="n"/>
      <c r="Q435" s="55" t="n"/>
      <c r="R435" s="50" t="n"/>
      <c r="S435" s="55" t="n"/>
      <c r="T435" s="56" t="n"/>
      <c r="U435" s="52" t="n"/>
      <c r="V435" s="52" t="n"/>
      <c r="W435" s="52" t="n"/>
      <c r="X435" s="53" t="str">
        <f>IF(AND(L435&lt;&gt;"",IF(ISNUMBER(U435),AND(U435&gt;=1,U435&lt;=10,U435=INT(U435)),FALSE),IF(ISNUMBER(V435),AND(V435&gt;=1,V435&lt;=10,V435=INT(V435)),FALSE),IF(ISNUMBER(W435),AND(W435&gt;=1,W435&lt;=10,W435=INT(W435)),FALSE)),U435*V435*W435,"")</f>
        <v/>
      </c>
      <c r="Y435" s="54" t="str">
        <f>IF(X435="","",IF(OR(U435&gt;=p_gmin,X435&gt;=p_ipr_crit),"Critique",IF(X435&gt;=p_ipr_act,"Élevée",IF(X435&gt;=p_ipr_watch,"Moyenne","Faible"))))</f>
        <v/>
      </c>
      <c r="Z435" s="57" t="str">
        <f>IF(X435="","",(L435-X435)/L435)</f>
        <v/>
      </c>
      <c r="AA435" s="54" t="str">
        <f>IF(AND(D435="",O435=""),"",IF(O435="",IF(N435="Oui","Action à définir",IF(N435="Non","Sans action","")),IF(R435="Annulée","Annulée",IF(R435="Réalisée",IF(X435="","À réévaluer","Réalisée"),IF(N(Q435)=0,"Échéance manquante",IF(Q435&lt;p_today,"En retard",IF(Q435-p_today&lt;=p_alert,"Échéance proche","Dans les délais")))))))</f>
        <v/>
      </c>
      <c r="AB435" s="58" t="str">
        <f>IF(AND(A435="",B435="",D435="",F435="",H435="",K435="",O435=""),"",IF(D435="","Mode de défaillance manquant",IF(AND(A435&lt;&gt;"",COUNTIF(am_num,A435)&gt;1),"N° en double",IF(F435="","Gravité G manquante",IF(NOT(IF(ISNUMBER(F435),AND(F435&gt;=1,F435&lt;=10,F435=INT(F435)),FALSE)),"G : entier de 1 à 10",IF(H435="","Occurrence O manquante",IF(NOT(IF(ISNUMBER(H435),AND(H435&gt;=1,H435&lt;=10,H435=INT(H435)),FALSE)),"O : entier de 1 à 10",IF(K435="","Détection D manquante",IF(NOT(IF(ISNUMBER(K435),AND(K435&gt;=1,K435&lt;=10,K435=INT(K435)),FALSE)),"D : entier de 1 à 10",IF(G435="","Cause manquante",IF(AND(O435&lt;&gt;"",P435=""),"Responsable manquant",IF(AND(R435&lt;&gt;"",O435=""),"Statut sans action",IF(AND(R435="Réalisée",N(S435)=0),"Date de réalisation manquante",IF(AND(T435&lt;&gt;"",IF(ISNUMBER(T435),T435&lt;0,TRUE)),"Coût invalide",IF(AND(COUNTBLANK(U435:W435)&gt;0,COUNTBLANK(U435:W435)&lt;3),"Cotation après action incomplète",IF(AND(COUNTBLANK(U435:W435)=0,X435=""),"G', O', D' : entiers de 1 à 10",IF(AND(X435&lt;&gt;"",X435&gt;L435),"IPR après action plus élevé","OK")))))))))))))))))</f>
        <v/>
      </c>
      <c r="AC435" s="59" t="str">
        <f>IF(OR(AA435="En retard",AA435="Échéance proche",AA435="Dans les délais",AA435="Échéance manquante",AA435="Action à définir",AA435="À réévaluer"),IF(OR(plan_who="",P435=plan_who),IF(N(Q435)&gt;0,Q435,99999)*1000+ROW(),""),"")</f>
        <v/>
      </c>
      <c r="AD435" s="59" t="str">
        <f>IF(L435="","",L435*1000+1000-ROW())</f>
        <v/>
      </c>
      <c r="AE435" s="59" t="str">
        <f>IF(IF(AA435="En retard",1,IF(AA435="Action à définir",2,IF(AA435="Échéance manquante",3,IF(AA435="Échéance proche",4,IF(AA435="À réévaluer",5,0)))))=0,"",IF(AA435="En retard",1,IF(AA435="Action à définir",2,IF(AA435="Échéance manquante",3,IF(AA435="Échéance proche",4,IF(AA435="À réévaluer",5,0)))))*100000000+IF(N(Q435)&gt;0,Q435,99999)*1000+ROW())</f>
        <v/>
      </c>
      <c r="AF435" s="59" t="str">
        <f>IF(X435&lt;&gt;"",X435,L435)</f>
        <v/>
      </c>
      <c r="AG435" s="59" t="str">
        <f>IF(X435&lt;&gt;"",Y435,IF(L435&lt;&gt;"",M435,""))</f>
        <v/>
      </c>
      <c r="AH435" s="59" t="str">
        <f>IF(L435="","",IF(X435&lt;&gt;"",U435,F435))</f>
        <v/>
      </c>
      <c r="AI435" s="59" t="str">
        <f>IF(L435="","",IF(X435&lt;&gt;"",V435,H435))</f>
        <v/>
      </c>
    </row>
    <row r="436" ht="30" customHeight="1">
      <c r="A436" s="50" t="n"/>
      <c r="B436" s="51" t="n"/>
      <c r="C436" s="51" t="n"/>
      <c r="D436" s="51" t="n"/>
      <c r="E436" s="51" t="n"/>
      <c r="F436" s="52" t="n"/>
      <c r="G436" s="51" t="n"/>
      <c r="H436" s="52" t="n"/>
      <c r="I436" s="51" t="n"/>
      <c r="J436" s="51" t="n"/>
      <c r="K436" s="52" t="n"/>
      <c r="L436" s="53" t="str">
        <f>IF(AND(IF(ISNUMBER(F436),AND(F436&gt;=1,F436&lt;=10,F436=INT(F436)),FALSE),IF(ISNUMBER(H436),AND(H436&gt;=1,H436&lt;=10,H436=INT(H436)),FALSE),IF(ISNUMBER(K436),AND(K436&gt;=1,K436&lt;=10,K436=INT(K436)),FALSE)),F436*H436*K436,"")</f>
        <v/>
      </c>
      <c r="M436" s="54" t="str">
        <f>IF(L436="",IF(D436="","","À coter"),IF(OR(F436&gt;=p_gmin,L436&gt;=p_ipr_crit),"Critique",IF(L436&gt;=p_ipr_act,"Élevée",IF(L436&gt;=p_ipr_watch,"Moyenne","Faible"))))</f>
        <v/>
      </c>
      <c r="N436" s="54" t="str">
        <f>IF(OR(M436="",M436="À coter"),"",IF(OR(M436="Critique",M436="Élevée"),"Oui","Non"))</f>
        <v/>
      </c>
      <c r="O436" s="51" t="n"/>
      <c r="P436" s="51" t="n"/>
      <c r="Q436" s="55" t="n"/>
      <c r="R436" s="50" t="n"/>
      <c r="S436" s="55" t="n"/>
      <c r="T436" s="56" t="n"/>
      <c r="U436" s="52" t="n"/>
      <c r="V436" s="52" t="n"/>
      <c r="W436" s="52" t="n"/>
      <c r="X436" s="53" t="str">
        <f>IF(AND(L436&lt;&gt;"",IF(ISNUMBER(U436),AND(U436&gt;=1,U436&lt;=10,U436=INT(U436)),FALSE),IF(ISNUMBER(V436),AND(V436&gt;=1,V436&lt;=10,V436=INT(V436)),FALSE),IF(ISNUMBER(W436),AND(W436&gt;=1,W436&lt;=10,W436=INT(W436)),FALSE)),U436*V436*W436,"")</f>
        <v/>
      </c>
      <c r="Y436" s="54" t="str">
        <f>IF(X436="","",IF(OR(U436&gt;=p_gmin,X436&gt;=p_ipr_crit),"Critique",IF(X436&gt;=p_ipr_act,"Élevée",IF(X436&gt;=p_ipr_watch,"Moyenne","Faible"))))</f>
        <v/>
      </c>
      <c r="Z436" s="57" t="str">
        <f>IF(X436="","",(L436-X436)/L436)</f>
        <v/>
      </c>
      <c r="AA436" s="54" t="str">
        <f>IF(AND(D436="",O436=""),"",IF(O436="",IF(N436="Oui","Action à définir",IF(N436="Non","Sans action","")),IF(R436="Annulée","Annulée",IF(R436="Réalisée",IF(X436="","À réévaluer","Réalisée"),IF(N(Q436)=0,"Échéance manquante",IF(Q436&lt;p_today,"En retard",IF(Q436-p_today&lt;=p_alert,"Échéance proche","Dans les délais")))))))</f>
        <v/>
      </c>
      <c r="AB436" s="58" t="str">
        <f>IF(AND(A436="",B436="",D436="",F436="",H436="",K436="",O436=""),"",IF(D436="","Mode de défaillance manquant",IF(AND(A436&lt;&gt;"",COUNTIF(am_num,A436)&gt;1),"N° en double",IF(F436="","Gravité G manquante",IF(NOT(IF(ISNUMBER(F436),AND(F436&gt;=1,F436&lt;=10,F436=INT(F436)),FALSE)),"G : entier de 1 à 10",IF(H436="","Occurrence O manquante",IF(NOT(IF(ISNUMBER(H436),AND(H436&gt;=1,H436&lt;=10,H436=INT(H436)),FALSE)),"O : entier de 1 à 10",IF(K436="","Détection D manquante",IF(NOT(IF(ISNUMBER(K436),AND(K436&gt;=1,K436&lt;=10,K436=INT(K436)),FALSE)),"D : entier de 1 à 10",IF(G436="","Cause manquante",IF(AND(O436&lt;&gt;"",P436=""),"Responsable manquant",IF(AND(R436&lt;&gt;"",O436=""),"Statut sans action",IF(AND(R436="Réalisée",N(S436)=0),"Date de réalisation manquante",IF(AND(T436&lt;&gt;"",IF(ISNUMBER(T436),T436&lt;0,TRUE)),"Coût invalide",IF(AND(COUNTBLANK(U436:W436)&gt;0,COUNTBLANK(U436:W436)&lt;3),"Cotation après action incomplète",IF(AND(COUNTBLANK(U436:W436)=0,X436=""),"G', O', D' : entiers de 1 à 10",IF(AND(X436&lt;&gt;"",X436&gt;L436),"IPR après action plus élevé","OK")))))))))))))))))</f>
        <v/>
      </c>
      <c r="AC436" s="59" t="str">
        <f>IF(OR(AA436="En retard",AA436="Échéance proche",AA436="Dans les délais",AA436="Échéance manquante",AA436="Action à définir",AA436="À réévaluer"),IF(OR(plan_who="",P436=plan_who),IF(N(Q436)&gt;0,Q436,99999)*1000+ROW(),""),"")</f>
        <v/>
      </c>
      <c r="AD436" s="59" t="str">
        <f>IF(L436="","",L436*1000+1000-ROW())</f>
        <v/>
      </c>
      <c r="AE436" s="59" t="str">
        <f>IF(IF(AA436="En retard",1,IF(AA436="Action à définir",2,IF(AA436="Échéance manquante",3,IF(AA436="Échéance proche",4,IF(AA436="À réévaluer",5,0)))))=0,"",IF(AA436="En retard",1,IF(AA436="Action à définir",2,IF(AA436="Échéance manquante",3,IF(AA436="Échéance proche",4,IF(AA436="À réévaluer",5,0)))))*100000000+IF(N(Q436)&gt;0,Q436,99999)*1000+ROW())</f>
        <v/>
      </c>
      <c r="AF436" s="59" t="str">
        <f>IF(X436&lt;&gt;"",X436,L436)</f>
        <v/>
      </c>
      <c r="AG436" s="59" t="str">
        <f>IF(X436&lt;&gt;"",Y436,IF(L436&lt;&gt;"",M436,""))</f>
        <v/>
      </c>
      <c r="AH436" s="59" t="str">
        <f>IF(L436="","",IF(X436&lt;&gt;"",U436,F436))</f>
        <v/>
      </c>
      <c r="AI436" s="59" t="str">
        <f>IF(L436="","",IF(X436&lt;&gt;"",V436,H436))</f>
        <v/>
      </c>
    </row>
    <row r="437" ht="30" customHeight="1">
      <c r="A437" s="50" t="n"/>
      <c r="B437" s="51" t="n"/>
      <c r="C437" s="51" t="n"/>
      <c r="D437" s="51" t="n"/>
      <c r="E437" s="51" t="n"/>
      <c r="F437" s="52" t="n"/>
      <c r="G437" s="51" t="n"/>
      <c r="H437" s="52" t="n"/>
      <c r="I437" s="51" t="n"/>
      <c r="J437" s="51" t="n"/>
      <c r="K437" s="52" t="n"/>
      <c r="L437" s="53" t="str">
        <f>IF(AND(IF(ISNUMBER(F437),AND(F437&gt;=1,F437&lt;=10,F437=INT(F437)),FALSE),IF(ISNUMBER(H437),AND(H437&gt;=1,H437&lt;=10,H437=INT(H437)),FALSE),IF(ISNUMBER(K437),AND(K437&gt;=1,K437&lt;=10,K437=INT(K437)),FALSE)),F437*H437*K437,"")</f>
        <v/>
      </c>
      <c r="M437" s="54" t="str">
        <f>IF(L437="",IF(D437="","","À coter"),IF(OR(F437&gt;=p_gmin,L437&gt;=p_ipr_crit),"Critique",IF(L437&gt;=p_ipr_act,"Élevée",IF(L437&gt;=p_ipr_watch,"Moyenne","Faible"))))</f>
        <v/>
      </c>
      <c r="N437" s="54" t="str">
        <f>IF(OR(M437="",M437="À coter"),"",IF(OR(M437="Critique",M437="Élevée"),"Oui","Non"))</f>
        <v/>
      </c>
      <c r="O437" s="51" t="n"/>
      <c r="P437" s="51" t="n"/>
      <c r="Q437" s="55" t="n"/>
      <c r="R437" s="50" t="n"/>
      <c r="S437" s="55" t="n"/>
      <c r="T437" s="56" t="n"/>
      <c r="U437" s="52" t="n"/>
      <c r="V437" s="52" t="n"/>
      <c r="W437" s="52" t="n"/>
      <c r="X437" s="53" t="str">
        <f>IF(AND(L437&lt;&gt;"",IF(ISNUMBER(U437),AND(U437&gt;=1,U437&lt;=10,U437=INT(U437)),FALSE),IF(ISNUMBER(V437),AND(V437&gt;=1,V437&lt;=10,V437=INT(V437)),FALSE),IF(ISNUMBER(W437),AND(W437&gt;=1,W437&lt;=10,W437=INT(W437)),FALSE)),U437*V437*W437,"")</f>
        <v/>
      </c>
      <c r="Y437" s="54" t="str">
        <f>IF(X437="","",IF(OR(U437&gt;=p_gmin,X437&gt;=p_ipr_crit),"Critique",IF(X437&gt;=p_ipr_act,"Élevée",IF(X437&gt;=p_ipr_watch,"Moyenne","Faible"))))</f>
        <v/>
      </c>
      <c r="Z437" s="57" t="str">
        <f>IF(X437="","",(L437-X437)/L437)</f>
        <v/>
      </c>
      <c r="AA437" s="54" t="str">
        <f>IF(AND(D437="",O437=""),"",IF(O437="",IF(N437="Oui","Action à définir",IF(N437="Non","Sans action","")),IF(R437="Annulée","Annulée",IF(R437="Réalisée",IF(X437="","À réévaluer","Réalisée"),IF(N(Q437)=0,"Échéance manquante",IF(Q437&lt;p_today,"En retard",IF(Q437-p_today&lt;=p_alert,"Échéance proche","Dans les délais")))))))</f>
        <v/>
      </c>
      <c r="AB437" s="58" t="str">
        <f>IF(AND(A437="",B437="",D437="",F437="",H437="",K437="",O437=""),"",IF(D437="","Mode de défaillance manquant",IF(AND(A437&lt;&gt;"",COUNTIF(am_num,A437)&gt;1),"N° en double",IF(F437="","Gravité G manquante",IF(NOT(IF(ISNUMBER(F437),AND(F437&gt;=1,F437&lt;=10,F437=INT(F437)),FALSE)),"G : entier de 1 à 10",IF(H437="","Occurrence O manquante",IF(NOT(IF(ISNUMBER(H437),AND(H437&gt;=1,H437&lt;=10,H437=INT(H437)),FALSE)),"O : entier de 1 à 10",IF(K437="","Détection D manquante",IF(NOT(IF(ISNUMBER(K437),AND(K437&gt;=1,K437&lt;=10,K437=INT(K437)),FALSE)),"D : entier de 1 à 10",IF(G437="","Cause manquante",IF(AND(O437&lt;&gt;"",P437=""),"Responsable manquant",IF(AND(R437&lt;&gt;"",O437=""),"Statut sans action",IF(AND(R437="Réalisée",N(S437)=0),"Date de réalisation manquante",IF(AND(T437&lt;&gt;"",IF(ISNUMBER(T437),T437&lt;0,TRUE)),"Coût invalide",IF(AND(COUNTBLANK(U437:W437)&gt;0,COUNTBLANK(U437:W437)&lt;3),"Cotation après action incomplète",IF(AND(COUNTBLANK(U437:W437)=0,X437=""),"G', O', D' : entiers de 1 à 10",IF(AND(X437&lt;&gt;"",X437&gt;L437),"IPR après action plus élevé","OK")))))))))))))))))</f>
        <v/>
      </c>
      <c r="AC437" s="59" t="str">
        <f>IF(OR(AA437="En retard",AA437="Échéance proche",AA437="Dans les délais",AA437="Échéance manquante",AA437="Action à définir",AA437="À réévaluer"),IF(OR(plan_who="",P437=plan_who),IF(N(Q437)&gt;0,Q437,99999)*1000+ROW(),""),"")</f>
        <v/>
      </c>
      <c r="AD437" s="59" t="str">
        <f>IF(L437="","",L437*1000+1000-ROW())</f>
        <v/>
      </c>
      <c r="AE437" s="59" t="str">
        <f>IF(IF(AA437="En retard",1,IF(AA437="Action à définir",2,IF(AA437="Échéance manquante",3,IF(AA437="Échéance proche",4,IF(AA437="À réévaluer",5,0)))))=0,"",IF(AA437="En retard",1,IF(AA437="Action à définir",2,IF(AA437="Échéance manquante",3,IF(AA437="Échéance proche",4,IF(AA437="À réévaluer",5,0)))))*100000000+IF(N(Q437)&gt;0,Q437,99999)*1000+ROW())</f>
        <v/>
      </c>
      <c r="AF437" s="59" t="str">
        <f>IF(X437&lt;&gt;"",X437,L437)</f>
        <v/>
      </c>
      <c r="AG437" s="59" t="str">
        <f>IF(X437&lt;&gt;"",Y437,IF(L437&lt;&gt;"",M437,""))</f>
        <v/>
      </c>
      <c r="AH437" s="59" t="str">
        <f>IF(L437="","",IF(X437&lt;&gt;"",U437,F437))</f>
        <v/>
      </c>
      <c r="AI437" s="59" t="str">
        <f>IF(L437="","",IF(X437&lt;&gt;"",V437,H437))</f>
        <v/>
      </c>
    </row>
    <row r="438" ht="30" customHeight="1">
      <c r="A438" s="50" t="n"/>
      <c r="B438" s="51" t="n"/>
      <c r="C438" s="51" t="n"/>
      <c r="D438" s="51" t="n"/>
      <c r="E438" s="51" t="n"/>
      <c r="F438" s="52" t="n"/>
      <c r="G438" s="51" t="n"/>
      <c r="H438" s="52" t="n"/>
      <c r="I438" s="51" t="n"/>
      <c r="J438" s="51" t="n"/>
      <c r="K438" s="52" t="n"/>
      <c r="L438" s="53" t="str">
        <f>IF(AND(IF(ISNUMBER(F438),AND(F438&gt;=1,F438&lt;=10,F438=INT(F438)),FALSE),IF(ISNUMBER(H438),AND(H438&gt;=1,H438&lt;=10,H438=INT(H438)),FALSE),IF(ISNUMBER(K438),AND(K438&gt;=1,K438&lt;=10,K438=INT(K438)),FALSE)),F438*H438*K438,"")</f>
        <v/>
      </c>
      <c r="M438" s="54" t="str">
        <f>IF(L438="",IF(D438="","","À coter"),IF(OR(F438&gt;=p_gmin,L438&gt;=p_ipr_crit),"Critique",IF(L438&gt;=p_ipr_act,"Élevée",IF(L438&gt;=p_ipr_watch,"Moyenne","Faible"))))</f>
        <v/>
      </c>
      <c r="N438" s="54" t="str">
        <f>IF(OR(M438="",M438="À coter"),"",IF(OR(M438="Critique",M438="Élevée"),"Oui","Non"))</f>
        <v/>
      </c>
      <c r="O438" s="51" t="n"/>
      <c r="P438" s="51" t="n"/>
      <c r="Q438" s="55" t="n"/>
      <c r="R438" s="50" t="n"/>
      <c r="S438" s="55" t="n"/>
      <c r="T438" s="56" t="n"/>
      <c r="U438" s="52" t="n"/>
      <c r="V438" s="52" t="n"/>
      <c r="W438" s="52" t="n"/>
      <c r="X438" s="53" t="str">
        <f>IF(AND(L438&lt;&gt;"",IF(ISNUMBER(U438),AND(U438&gt;=1,U438&lt;=10,U438=INT(U438)),FALSE),IF(ISNUMBER(V438),AND(V438&gt;=1,V438&lt;=10,V438=INT(V438)),FALSE),IF(ISNUMBER(W438),AND(W438&gt;=1,W438&lt;=10,W438=INT(W438)),FALSE)),U438*V438*W438,"")</f>
        <v/>
      </c>
      <c r="Y438" s="54" t="str">
        <f>IF(X438="","",IF(OR(U438&gt;=p_gmin,X438&gt;=p_ipr_crit),"Critique",IF(X438&gt;=p_ipr_act,"Élevée",IF(X438&gt;=p_ipr_watch,"Moyenne","Faible"))))</f>
        <v/>
      </c>
      <c r="Z438" s="57" t="str">
        <f>IF(X438="","",(L438-X438)/L438)</f>
        <v/>
      </c>
      <c r="AA438" s="54" t="str">
        <f>IF(AND(D438="",O438=""),"",IF(O438="",IF(N438="Oui","Action à définir",IF(N438="Non","Sans action","")),IF(R438="Annulée","Annulée",IF(R438="Réalisée",IF(X438="","À réévaluer","Réalisée"),IF(N(Q438)=0,"Échéance manquante",IF(Q438&lt;p_today,"En retard",IF(Q438-p_today&lt;=p_alert,"Échéance proche","Dans les délais")))))))</f>
        <v/>
      </c>
      <c r="AB438" s="58" t="str">
        <f>IF(AND(A438="",B438="",D438="",F438="",H438="",K438="",O438=""),"",IF(D438="","Mode de défaillance manquant",IF(AND(A438&lt;&gt;"",COUNTIF(am_num,A438)&gt;1),"N° en double",IF(F438="","Gravité G manquante",IF(NOT(IF(ISNUMBER(F438),AND(F438&gt;=1,F438&lt;=10,F438=INT(F438)),FALSE)),"G : entier de 1 à 10",IF(H438="","Occurrence O manquante",IF(NOT(IF(ISNUMBER(H438),AND(H438&gt;=1,H438&lt;=10,H438=INT(H438)),FALSE)),"O : entier de 1 à 10",IF(K438="","Détection D manquante",IF(NOT(IF(ISNUMBER(K438),AND(K438&gt;=1,K438&lt;=10,K438=INT(K438)),FALSE)),"D : entier de 1 à 10",IF(G438="","Cause manquante",IF(AND(O438&lt;&gt;"",P438=""),"Responsable manquant",IF(AND(R438&lt;&gt;"",O438=""),"Statut sans action",IF(AND(R438="Réalisée",N(S438)=0),"Date de réalisation manquante",IF(AND(T438&lt;&gt;"",IF(ISNUMBER(T438),T438&lt;0,TRUE)),"Coût invalide",IF(AND(COUNTBLANK(U438:W438)&gt;0,COUNTBLANK(U438:W438)&lt;3),"Cotation après action incomplète",IF(AND(COUNTBLANK(U438:W438)=0,X438=""),"G', O', D' : entiers de 1 à 10",IF(AND(X438&lt;&gt;"",X438&gt;L438),"IPR après action plus élevé","OK")))))))))))))))))</f>
        <v/>
      </c>
      <c r="AC438" s="59" t="str">
        <f>IF(OR(AA438="En retard",AA438="Échéance proche",AA438="Dans les délais",AA438="Échéance manquante",AA438="Action à définir",AA438="À réévaluer"),IF(OR(plan_who="",P438=plan_who),IF(N(Q438)&gt;0,Q438,99999)*1000+ROW(),""),"")</f>
        <v/>
      </c>
      <c r="AD438" s="59" t="str">
        <f>IF(L438="","",L438*1000+1000-ROW())</f>
        <v/>
      </c>
      <c r="AE438" s="59" t="str">
        <f>IF(IF(AA438="En retard",1,IF(AA438="Action à définir",2,IF(AA438="Échéance manquante",3,IF(AA438="Échéance proche",4,IF(AA438="À réévaluer",5,0)))))=0,"",IF(AA438="En retard",1,IF(AA438="Action à définir",2,IF(AA438="Échéance manquante",3,IF(AA438="Échéance proche",4,IF(AA438="À réévaluer",5,0)))))*100000000+IF(N(Q438)&gt;0,Q438,99999)*1000+ROW())</f>
        <v/>
      </c>
      <c r="AF438" s="59" t="str">
        <f>IF(X438&lt;&gt;"",X438,L438)</f>
        <v/>
      </c>
      <c r="AG438" s="59" t="str">
        <f>IF(X438&lt;&gt;"",Y438,IF(L438&lt;&gt;"",M438,""))</f>
        <v/>
      </c>
      <c r="AH438" s="59" t="str">
        <f>IF(L438="","",IF(X438&lt;&gt;"",U438,F438))</f>
        <v/>
      </c>
      <c r="AI438" s="59" t="str">
        <f>IF(L438="","",IF(X438&lt;&gt;"",V438,H438))</f>
        <v/>
      </c>
    </row>
    <row r="439" ht="30" customHeight="1">
      <c r="A439" s="50" t="n"/>
      <c r="B439" s="51" t="n"/>
      <c r="C439" s="51" t="n"/>
      <c r="D439" s="51" t="n"/>
      <c r="E439" s="51" t="n"/>
      <c r="F439" s="52" t="n"/>
      <c r="G439" s="51" t="n"/>
      <c r="H439" s="52" t="n"/>
      <c r="I439" s="51" t="n"/>
      <c r="J439" s="51" t="n"/>
      <c r="K439" s="52" t="n"/>
      <c r="L439" s="53" t="str">
        <f>IF(AND(IF(ISNUMBER(F439),AND(F439&gt;=1,F439&lt;=10,F439=INT(F439)),FALSE),IF(ISNUMBER(H439),AND(H439&gt;=1,H439&lt;=10,H439=INT(H439)),FALSE),IF(ISNUMBER(K439),AND(K439&gt;=1,K439&lt;=10,K439=INT(K439)),FALSE)),F439*H439*K439,"")</f>
        <v/>
      </c>
      <c r="M439" s="54" t="str">
        <f>IF(L439="",IF(D439="","","À coter"),IF(OR(F439&gt;=p_gmin,L439&gt;=p_ipr_crit),"Critique",IF(L439&gt;=p_ipr_act,"Élevée",IF(L439&gt;=p_ipr_watch,"Moyenne","Faible"))))</f>
        <v/>
      </c>
      <c r="N439" s="54" t="str">
        <f>IF(OR(M439="",M439="À coter"),"",IF(OR(M439="Critique",M439="Élevée"),"Oui","Non"))</f>
        <v/>
      </c>
      <c r="O439" s="51" t="n"/>
      <c r="P439" s="51" t="n"/>
      <c r="Q439" s="55" t="n"/>
      <c r="R439" s="50" t="n"/>
      <c r="S439" s="55" t="n"/>
      <c r="T439" s="56" t="n"/>
      <c r="U439" s="52" t="n"/>
      <c r="V439" s="52" t="n"/>
      <c r="W439" s="52" t="n"/>
      <c r="X439" s="53" t="str">
        <f>IF(AND(L439&lt;&gt;"",IF(ISNUMBER(U439),AND(U439&gt;=1,U439&lt;=10,U439=INT(U439)),FALSE),IF(ISNUMBER(V439),AND(V439&gt;=1,V439&lt;=10,V439=INT(V439)),FALSE),IF(ISNUMBER(W439),AND(W439&gt;=1,W439&lt;=10,W439=INT(W439)),FALSE)),U439*V439*W439,"")</f>
        <v/>
      </c>
      <c r="Y439" s="54" t="str">
        <f>IF(X439="","",IF(OR(U439&gt;=p_gmin,X439&gt;=p_ipr_crit),"Critique",IF(X439&gt;=p_ipr_act,"Élevée",IF(X439&gt;=p_ipr_watch,"Moyenne","Faible"))))</f>
        <v/>
      </c>
      <c r="Z439" s="57" t="str">
        <f>IF(X439="","",(L439-X439)/L439)</f>
        <v/>
      </c>
      <c r="AA439" s="54" t="str">
        <f>IF(AND(D439="",O439=""),"",IF(O439="",IF(N439="Oui","Action à définir",IF(N439="Non","Sans action","")),IF(R439="Annulée","Annulée",IF(R439="Réalisée",IF(X439="","À réévaluer","Réalisée"),IF(N(Q439)=0,"Échéance manquante",IF(Q439&lt;p_today,"En retard",IF(Q439-p_today&lt;=p_alert,"Échéance proche","Dans les délais")))))))</f>
        <v/>
      </c>
      <c r="AB439" s="58" t="str">
        <f>IF(AND(A439="",B439="",D439="",F439="",H439="",K439="",O439=""),"",IF(D439="","Mode de défaillance manquant",IF(AND(A439&lt;&gt;"",COUNTIF(am_num,A439)&gt;1),"N° en double",IF(F439="","Gravité G manquante",IF(NOT(IF(ISNUMBER(F439),AND(F439&gt;=1,F439&lt;=10,F439=INT(F439)),FALSE)),"G : entier de 1 à 10",IF(H439="","Occurrence O manquante",IF(NOT(IF(ISNUMBER(H439),AND(H439&gt;=1,H439&lt;=10,H439=INT(H439)),FALSE)),"O : entier de 1 à 10",IF(K439="","Détection D manquante",IF(NOT(IF(ISNUMBER(K439),AND(K439&gt;=1,K439&lt;=10,K439=INT(K439)),FALSE)),"D : entier de 1 à 10",IF(G439="","Cause manquante",IF(AND(O439&lt;&gt;"",P439=""),"Responsable manquant",IF(AND(R439&lt;&gt;"",O439=""),"Statut sans action",IF(AND(R439="Réalisée",N(S439)=0),"Date de réalisation manquante",IF(AND(T439&lt;&gt;"",IF(ISNUMBER(T439),T439&lt;0,TRUE)),"Coût invalide",IF(AND(COUNTBLANK(U439:W439)&gt;0,COUNTBLANK(U439:W439)&lt;3),"Cotation après action incomplète",IF(AND(COUNTBLANK(U439:W439)=0,X439=""),"G', O', D' : entiers de 1 à 10",IF(AND(X439&lt;&gt;"",X439&gt;L439),"IPR après action plus élevé","OK")))))))))))))))))</f>
        <v/>
      </c>
      <c r="AC439" s="59" t="str">
        <f>IF(OR(AA439="En retard",AA439="Échéance proche",AA439="Dans les délais",AA439="Échéance manquante",AA439="Action à définir",AA439="À réévaluer"),IF(OR(plan_who="",P439=plan_who),IF(N(Q439)&gt;0,Q439,99999)*1000+ROW(),""),"")</f>
        <v/>
      </c>
      <c r="AD439" s="59" t="str">
        <f>IF(L439="","",L439*1000+1000-ROW())</f>
        <v/>
      </c>
      <c r="AE439" s="59" t="str">
        <f>IF(IF(AA439="En retard",1,IF(AA439="Action à définir",2,IF(AA439="Échéance manquante",3,IF(AA439="Échéance proche",4,IF(AA439="À réévaluer",5,0)))))=0,"",IF(AA439="En retard",1,IF(AA439="Action à définir",2,IF(AA439="Échéance manquante",3,IF(AA439="Échéance proche",4,IF(AA439="À réévaluer",5,0)))))*100000000+IF(N(Q439)&gt;0,Q439,99999)*1000+ROW())</f>
        <v/>
      </c>
      <c r="AF439" s="59" t="str">
        <f>IF(X439&lt;&gt;"",X439,L439)</f>
        <v/>
      </c>
      <c r="AG439" s="59" t="str">
        <f>IF(X439&lt;&gt;"",Y439,IF(L439&lt;&gt;"",M439,""))</f>
        <v/>
      </c>
      <c r="AH439" s="59" t="str">
        <f>IF(L439="","",IF(X439&lt;&gt;"",U439,F439))</f>
        <v/>
      </c>
      <c r="AI439" s="59" t="str">
        <f>IF(L439="","",IF(X439&lt;&gt;"",V439,H439))</f>
        <v/>
      </c>
    </row>
    <row r="440" ht="30" customHeight="1">
      <c r="A440" s="50" t="n"/>
      <c r="B440" s="51" t="n"/>
      <c r="C440" s="51" t="n"/>
      <c r="D440" s="51" t="n"/>
      <c r="E440" s="51" t="n"/>
      <c r="F440" s="52" t="n"/>
      <c r="G440" s="51" t="n"/>
      <c r="H440" s="52" t="n"/>
      <c r="I440" s="51" t="n"/>
      <c r="J440" s="51" t="n"/>
      <c r="K440" s="52" t="n"/>
      <c r="L440" s="53" t="str">
        <f>IF(AND(IF(ISNUMBER(F440),AND(F440&gt;=1,F440&lt;=10,F440=INT(F440)),FALSE),IF(ISNUMBER(H440),AND(H440&gt;=1,H440&lt;=10,H440=INT(H440)),FALSE),IF(ISNUMBER(K440),AND(K440&gt;=1,K440&lt;=10,K440=INT(K440)),FALSE)),F440*H440*K440,"")</f>
        <v/>
      </c>
      <c r="M440" s="54" t="str">
        <f>IF(L440="",IF(D440="","","À coter"),IF(OR(F440&gt;=p_gmin,L440&gt;=p_ipr_crit),"Critique",IF(L440&gt;=p_ipr_act,"Élevée",IF(L440&gt;=p_ipr_watch,"Moyenne","Faible"))))</f>
        <v/>
      </c>
      <c r="N440" s="54" t="str">
        <f>IF(OR(M440="",M440="À coter"),"",IF(OR(M440="Critique",M440="Élevée"),"Oui","Non"))</f>
        <v/>
      </c>
      <c r="O440" s="51" t="n"/>
      <c r="P440" s="51" t="n"/>
      <c r="Q440" s="55" t="n"/>
      <c r="R440" s="50" t="n"/>
      <c r="S440" s="55" t="n"/>
      <c r="T440" s="56" t="n"/>
      <c r="U440" s="52" t="n"/>
      <c r="V440" s="52" t="n"/>
      <c r="W440" s="52" t="n"/>
      <c r="X440" s="53" t="str">
        <f>IF(AND(L440&lt;&gt;"",IF(ISNUMBER(U440),AND(U440&gt;=1,U440&lt;=10,U440=INT(U440)),FALSE),IF(ISNUMBER(V440),AND(V440&gt;=1,V440&lt;=10,V440=INT(V440)),FALSE),IF(ISNUMBER(W440),AND(W440&gt;=1,W440&lt;=10,W440=INT(W440)),FALSE)),U440*V440*W440,"")</f>
        <v/>
      </c>
      <c r="Y440" s="54" t="str">
        <f>IF(X440="","",IF(OR(U440&gt;=p_gmin,X440&gt;=p_ipr_crit),"Critique",IF(X440&gt;=p_ipr_act,"Élevée",IF(X440&gt;=p_ipr_watch,"Moyenne","Faible"))))</f>
        <v/>
      </c>
      <c r="Z440" s="57" t="str">
        <f>IF(X440="","",(L440-X440)/L440)</f>
        <v/>
      </c>
      <c r="AA440" s="54" t="str">
        <f>IF(AND(D440="",O440=""),"",IF(O440="",IF(N440="Oui","Action à définir",IF(N440="Non","Sans action","")),IF(R440="Annulée","Annulée",IF(R440="Réalisée",IF(X440="","À réévaluer","Réalisée"),IF(N(Q440)=0,"Échéance manquante",IF(Q440&lt;p_today,"En retard",IF(Q440-p_today&lt;=p_alert,"Échéance proche","Dans les délais")))))))</f>
        <v/>
      </c>
      <c r="AB440" s="58" t="str">
        <f>IF(AND(A440="",B440="",D440="",F440="",H440="",K440="",O440=""),"",IF(D440="","Mode de défaillance manquant",IF(AND(A440&lt;&gt;"",COUNTIF(am_num,A440)&gt;1),"N° en double",IF(F440="","Gravité G manquante",IF(NOT(IF(ISNUMBER(F440),AND(F440&gt;=1,F440&lt;=10,F440=INT(F440)),FALSE)),"G : entier de 1 à 10",IF(H440="","Occurrence O manquante",IF(NOT(IF(ISNUMBER(H440),AND(H440&gt;=1,H440&lt;=10,H440=INT(H440)),FALSE)),"O : entier de 1 à 10",IF(K440="","Détection D manquante",IF(NOT(IF(ISNUMBER(K440),AND(K440&gt;=1,K440&lt;=10,K440=INT(K440)),FALSE)),"D : entier de 1 à 10",IF(G440="","Cause manquante",IF(AND(O440&lt;&gt;"",P440=""),"Responsable manquant",IF(AND(R440&lt;&gt;"",O440=""),"Statut sans action",IF(AND(R440="Réalisée",N(S440)=0),"Date de réalisation manquante",IF(AND(T440&lt;&gt;"",IF(ISNUMBER(T440),T440&lt;0,TRUE)),"Coût invalide",IF(AND(COUNTBLANK(U440:W440)&gt;0,COUNTBLANK(U440:W440)&lt;3),"Cotation après action incomplète",IF(AND(COUNTBLANK(U440:W440)=0,X440=""),"G', O', D' : entiers de 1 à 10",IF(AND(X440&lt;&gt;"",X440&gt;L440),"IPR après action plus élevé","OK")))))))))))))))))</f>
        <v/>
      </c>
      <c r="AC440" s="59" t="str">
        <f>IF(OR(AA440="En retard",AA440="Échéance proche",AA440="Dans les délais",AA440="Échéance manquante",AA440="Action à définir",AA440="À réévaluer"),IF(OR(plan_who="",P440=plan_who),IF(N(Q440)&gt;0,Q440,99999)*1000+ROW(),""),"")</f>
        <v/>
      </c>
      <c r="AD440" s="59" t="str">
        <f>IF(L440="","",L440*1000+1000-ROW())</f>
        <v/>
      </c>
      <c r="AE440" s="59" t="str">
        <f>IF(IF(AA440="En retard",1,IF(AA440="Action à définir",2,IF(AA440="Échéance manquante",3,IF(AA440="Échéance proche",4,IF(AA440="À réévaluer",5,0)))))=0,"",IF(AA440="En retard",1,IF(AA440="Action à définir",2,IF(AA440="Échéance manquante",3,IF(AA440="Échéance proche",4,IF(AA440="À réévaluer",5,0)))))*100000000+IF(N(Q440)&gt;0,Q440,99999)*1000+ROW())</f>
        <v/>
      </c>
      <c r="AF440" s="59" t="str">
        <f>IF(X440&lt;&gt;"",X440,L440)</f>
        <v/>
      </c>
      <c r="AG440" s="59" t="str">
        <f>IF(X440&lt;&gt;"",Y440,IF(L440&lt;&gt;"",M440,""))</f>
        <v/>
      </c>
      <c r="AH440" s="59" t="str">
        <f>IF(L440="","",IF(X440&lt;&gt;"",U440,F440))</f>
        <v/>
      </c>
      <c r="AI440" s="59" t="str">
        <f>IF(L440="","",IF(X440&lt;&gt;"",V440,H440))</f>
        <v/>
      </c>
    </row>
    <row r="441" ht="30" customHeight="1">
      <c r="A441" s="50" t="n"/>
      <c r="B441" s="51" t="n"/>
      <c r="C441" s="51" t="n"/>
      <c r="D441" s="51" t="n"/>
      <c r="E441" s="51" t="n"/>
      <c r="F441" s="52" t="n"/>
      <c r="G441" s="51" t="n"/>
      <c r="H441" s="52" t="n"/>
      <c r="I441" s="51" t="n"/>
      <c r="J441" s="51" t="n"/>
      <c r="K441" s="52" t="n"/>
      <c r="L441" s="53" t="str">
        <f>IF(AND(IF(ISNUMBER(F441),AND(F441&gt;=1,F441&lt;=10,F441=INT(F441)),FALSE),IF(ISNUMBER(H441),AND(H441&gt;=1,H441&lt;=10,H441=INT(H441)),FALSE),IF(ISNUMBER(K441),AND(K441&gt;=1,K441&lt;=10,K441=INT(K441)),FALSE)),F441*H441*K441,"")</f>
        <v/>
      </c>
      <c r="M441" s="54" t="str">
        <f>IF(L441="",IF(D441="","","À coter"),IF(OR(F441&gt;=p_gmin,L441&gt;=p_ipr_crit),"Critique",IF(L441&gt;=p_ipr_act,"Élevée",IF(L441&gt;=p_ipr_watch,"Moyenne","Faible"))))</f>
        <v/>
      </c>
      <c r="N441" s="54" t="str">
        <f>IF(OR(M441="",M441="À coter"),"",IF(OR(M441="Critique",M441="Élevée"),"Oui","Non"))</f>
        <v/>
      </c>
      <c r="O441" s="51" t="n"/>
      <c r="P441" s="51" t="n"/>
      <c r="Q441" s="55" t="n"/>
      <c r="R441" s="50" t="n"/>
      <c r="S441" s="55" t="n"/>
      <c r="T441" s="56" t="n"/>
      <c r="U441" s="52" t="n"/>
      <c r="V441" s="52" t="n"/>
      <c r="W441" s="52" t="n"/>
      <c r="X441" s="53" t="str">
        <f>IF(AND(L441&lt;&gt;"",IF(ISNUMBER(U441),AND(U441&gt;=1,U441&lt;=10,U441=INT(U441)),FALSE),IF(ISNUMBER(V441),AND(V441&gt;=1,V441&lt;=10,V441=INT(V441)),FALSE),IF(ISNUMBER(W441),AND(W441&gt;=1,W441&lt;=10,W441=INT(W441)),FALSE)),U441*V441*W441,"")</f>
        <v/>
      </c>
      <c r="Y441" s="54" t="str">
        <f>IF(X441="","",IF(OR(U441&gt;=p_gmin,X441&gt;=p_ipr_crit),"Critique",IF(X441&gt;=p_ipr_act,"Élevée",IF(X441&gt;=p_ipr_watch,"Moyenne","Faible"))))</f>
        <v/>
      </c>
      <c r="Z441" s="57" t="str">
        <f>IF(X441="","",(L441-X441)/L441)</f>
        <v/>
      </c>
      <c r="AA441" s="54" t="str">
        <f>IF(AND(D441="",O441=""),"",IF(O441="",IF(N441="Oui","Action à définir",IF(N441="Non","Sans action","")),IF(R441="Annulée","Annulée",IF(R441="Réalisée",IF(X441="","À réévaluer","Réalisée"),IF(N(Q441)=0,"Échéance manquante",IF(Q441&lt;p_today,"En retard",IF(Q441-p_today&lt;=p_alert,"Échéance proche","Dans les délais")))))))</f>
        <v/>
      </c>
      <c r="AB441" s="58" t="str">
        <f>IF(AND(A441="",B441="",D441="",F441="",H441="",K441="",O441=""),"",IF(D441="","Mode de défaillance manquant",IF(AND(A441&lt;&gt;"",COUNTIF(am_num,A441)&gt;1),"N° en double",IF(F441="","Gravité G manquante",IF(NOT(IF(ISNUMBER(F441),AND(F441&gt;=1,F441&lt;=10,F441=INT(F441)),FALSE)),"G : entier de 1 à 10",IF(H441="","Occurrence O manquante",IF(NOT(IF(ISNUMBER(H441),AND(H441&gt;=1,H441&lt;=10,H441=INT(H441)),FALSE)),"O : entier de 1 à 10",IF(K441="","Détection D manquante",IF(NOT(IF(ISNUMBER(K441),AND(K441&gt;=1,K441&lt;=10,K441=INT(K441)),FALSE)),"D : entier de 1 à 10",IF(G441="","Cause manquante",IF(AND(O441&lt;&gt;"",P441=""),"Responsable manquant",IF(AND(R441&lt;&gt;"",O441=""),"Statut sans action",IF(AND(R441="Réalisée",N(S441)=0),"Date de réalisation manquante",IF(AND(T441&lt;&gt;"",IF(ISNUMBER(T441),T441&lt;0,TRUE)),"Coût invalide",IF(AND(COUNTBLANK(U441:W441)&gt;0,COUNTBLANK(U441:W441)&lt;3),"Cotation après action incomplète",IF(AND(COUNTBLANK(U441:W441)=0,X441=""),"G', O', D' : entiers de 1 à 10",IF(AND(X441&lt;&gt;"",X441&gt;L441),"IPR après action plus élevé","OK")))))))))))))))))</f>
        <v/>
      </c>
      <c r="AC441" s="59" t="str">
        <f>IF(OR(AA441="En retard",AA441="Échéance proche",AA441="Dans les délais",AA441="Échéance manquante",AA441="Action à définir",AA441="À réévaluer"),IF(OR(plan_who="",P441=plan_who),IF(N(Q441)&gt;0,Q441,99999)*1000+ROW(),""),"")</f>
        <v/>
      </c>
      <c r="AD441" s="59" t="str">
        <f>IF(L441="","",L441*1000+1000-ROW())</f>
        <v/>
      </c>
      <c r="AE441" s="59" t="str">
        <f>IF(IF(AA441="En retard",1,IF(AA441="Action à définir",2,IF(AA441="Échéance manquante",3,IF(AA441="Échéance proche",4,IF(AA441="À réévaluer",5,0)))))=0,"",IF(AA441="En retard",1,IF(AA441="Action à définir",2,IF(AA441="Échéance manquante",3,IF(AA441="Échéance proche",4,IF(AA441="À réévaluer",5,0)))))*100000000+IF(N(Q441)&gt;0,Q441,99999)*1000+ROW())</f>
        <v/>
      </c>
      <c r="AF441" s="59" t="str">
        <f>IF(X441&lt;&gt;"",X441,L441)</f>
        <v/>
      </c>
      <c r="AG441" s="59" t="str">
        <f>IF(X441&lt;&gt;"",Y441,IF(L441&lt;&gt;"",M441,""))</f>
        <v/>
      </c>
      <c r="AH441" s="59" t="str">
        <f>IF(L441="","",IF(X441&lt;&gt;"",U441,F441))</f>
        <v/>
      </c>
      <c r="AI441" s="59" t="str">
        <f>IF(L441="","",IF(X441&lt;&gt;"",V441,H441))</f>
        <v/>
      </c>
    </row>
    <row r="442" ht="30" customHeight="1">
      <c r="A442" s="50" t="n"/>
      <c r="B442" s="51" t="n"/>
      <c r="C442" s="51" t="n"/>
      <c r="D442" s="51" t="n"/>
      <c r="E442" s="51" t="n"/>
      <c r="F442" s="52" t="n"/>
      <c r="G442" s="51" t="n"/>
      <c r="H442" s="52" t="n"/>
      <c r="I442" s="51" t="n"/>
      <c r="J442" s="51" t="n"/>
      <c r="K442" s="52" t="n"/>
      <c r="L442" s="53" t="str">
        <f>IF(AND(IF(ISNUMBER(F442),AND(F442&gt;=1,F442&lt;=10,F442=INT(F442)),FALSE),IF(ISNUMBER(H442),AND(H442&gt;=1,H442&lt;=10,H442=INT(H442)),FALSE),IF(ISNUMBER(K442),AND(K442&gt;=1,K442&lt;=10,K442=INT(K442)),FALSE)),F442*H442*K442,"")</f>
        <v/>
      </c>
      <c r="M442" s="54" t="str">
        <f>IF(L442="",IF(D442="","","À coter"),IF(OR(F442&gt;=p_gmin,L442&gt;=p_ipr_crit),"Critique",IF(L442&gt;=p_ipr_act,"Élevée",IF(L442&gt;=p_ipr_watch,"Moyenne","Faible"))))</f>
        <v/>
      </c>
      <c r="N442" s="54" t="str">
        <f>IF(OR(M442="",M442="À coter"),"",IF(OR(M442="Critique",M442="Élevée"),"Oui","Non"))</f>
        <v/>
      </c>
      <c r="O442" s="51" t="n"/>
      <c r="P442" s="51" t="n"/>
      <c r="Q442" s="55" t="n"/>
      <c r="R442" s="50" t="n"/>
      <c r="S442" s="55" t="n"/>
      <c r="T442" s="56" t="n"/>
      <c r="U442" s="52" t="n"/>
      <c r="V442" s="52" t="n"/>
      <c r="W442" s="52" t="n"/>
      <c r="X442" s="53" t="str">
        <f>IF(AND(L442&lt;&gt;"",IF(ISNUMBER(U442),AND(U442&gt;=1,U442&lt;=10,U442=INT(U442)),FALSE),IF(ISNUMBER(V442),AND(V442&gt;=1,V442&lt;=10,V442=INT(V442)),FALSE),IF(ISNUMBER(W442),AND(W442&gt;=1,W442&lt;=10,W442=INT(W442)),FALSE)),U442*V442*W442,"")</f>
        <v/>
      </c>
      <c r="Y442" s="54" t="str">
        <f>IF(X442="","",IF(OR(U442&gt;=p_gmin,X442&gt;=p_ipr_crit),"Critique",IF(X442&gt;=p_ipr_act,"Élevée",IF(X442&gt;=p_ipr_watch,"Moyenne","Faible"))))</f>
        <v/>
      </c>
      <c r="Z442" s="57" t="str">
        <f>IF(X442="","",(L442-X442)/L442)</f>
        <v/>
      </c>
      <c r="AA442" s="54" t="str">
        <f>IF(AND(D442="",O442=""),"",IF(O442="",IF(N442="Oui","Action à définir",IF(N442="Non","Sans action","")),IF(R442="Annulée","Annulée",IF(R442="Réalisée",IF(X442="","À réévaluer","Réalisée"),IF(N(Q442)=0,"Échéance manquante",IF(Q442&lt;p_today,"En retard",IF(Q442-p_today&lt;=p_alert,"Échéance proche","Dans les délais")))))))</f>
        <v/>
      </c>
      <c r="AB442" s="58" t="str">
        <f>IF(AND(A442="",B442="",D442="",F442="",H442="",K442="",O442=""),"",IF(D442="","Mode de défaillance manquant",IF(AND(A442&lt;&gt;"",COUNTIF(am_num,A442)&gt;1),"N° en double",IF(F442="","Gravité G manquante",IF(NOT(IF(ISNUMBER(F442),AND(F442&gt;=1,F442&lt;=10,F442=INT(F442)),FALSE)),"G : entier de 1 à 10",IF(H442="","Occurrence O manquante",IF(NOT(IF(ISNUMBER(H442),AND(H442&gt;=1,H442&lt;=10,H442=INT(H442)),FALSE)),"O : entier de 1 à 10",IF(K442="","Détection D manquante",IF(NOT(IF(ISNUMBER(K442),AND(K442&gt;=1,K442&lt;=10,K442=INT(K442)),FALSE)),"D : entier de 1 à 10",IF(G442="","Cause manquante",IF(AND(O442&lt;&gt;"",P442=""),"Responsable manquant",IF(AND(R442&lt;&gt;"",O442=""),"Statut sans action",IF(AND(R442="Réalisée",N(S442)=0),"Date de réalisation manquante",IF(AND(T442&lt;&gt;"",IF(ISNUMBER(T442),T442&lt;0,TRUE)),"Coût invalide",IF(AND(COUNTBLANK(U442:W442)&gt;0,COUNTBLANK(U442:W442)&lt;3),"Cotation après action incomplète",IF(AND(COUNTBLANK(U442:W442)=0,X442=""),"G', O', D' : entiers de 1 à 10",IF(AND(X442&lt;&gt;"",X442&gt;L442),"IPR après action plus élevé","OK")))))))))))))))))</f>
        <v/>
      </c>
      <c r="AC442" s="59" t="str">
        <f>IF(OR(AA442="En retard",AA442="Échéance proche",AA442="Dans les délais",AA442="Échéance manquante",AA442="Action à définir",AA442="À réévaluer"),IF(OR(plan_who="",P442=plan_who),IF(N(Q442)&gt;0,Q442,99999)*1000+ROW(),""),"")</f>
        <v/>
      </c>
      <c r="AD442" s="59" t="str">
        <f>IF(L442="","",L442*1000+1000-ROW())</f>
        <v/>
      </c>
      <c r="AE442" s="59" t="str">
        <f>IF(IF(AA442="En retard",1,IF(AA442="Action à définir",2,IF(AA442="Échéance manquante",3,IF(AA442="Échéance proche",4,IF(AA442="À réévaluer",5,0)))))=0,"",IF(AA442="En retard",1,IF(AA442="Action à définir",2,IF(AA442="Échéance manquante",3,IF(AA442="Échéance proche",4,IF(AA442="À réévaluer",5,0)))))*100000000+IF(N(Q442)&gt;0,Q442,99999)*1000+ROW())</f>
        <v/>
      </c>
      <c r="AF442" s="59" t="str">
        <f>IF(X442&lt;&gt;"",X442,L442)</f>
        <v/>
      </c>
      <c r="AG442" s="59" t="str">
        <f>IF(X442&lt;&gt;"",Y442,IF(L442&lt;&gt;"",M442,""))</f>
        <v/>
      </c>
      <c r="AH442" s="59" t="str">
        <f>IF(L442="","",IF(X442&lt;&gt;"",U442,F442))</f>
        <v/>
      </c>
      <c r="AI442" s="59" t="str">
        <f>IF(L442="","",IF(X442&lt;&gt;"",V442,H442))</f>
        <v/>
      </c>
    </row>
    <row r="443" ht="30" customHeight="1">
      <c r="A443" s="50" t="n"/>
      <c r="B443" s="51" t="n"/>
      <c r="C443" s="51" t="n"/>
      <c r="D443" s="51" t="n"/>
      <c r="E443" s="51" t="n"/>
      <c r="F443" s="52" t="n"/>
      <c r="G443" s="51" t="n"/>
      <c r="H443" s="52" t="n"/>
      <c r="I443" s="51" t="n"/>
      <c r="J443" s="51" t="n"/>
      <c r="K443" s="52" t="n"/>
      <c r="L443" s="53" t="str">
        <f>IF(AND(IF(ISNUMBER(F443),AND(F443&gt;=1,F443&lt;=10,F443=INT(F443)),FALSE),IF(ISNUMBER(H443),AND(H443&gt;=1,H443&lt;=10,H443=INT(H443)),FALSE),IF(ISNUMBER(K443),AND(K443&gt;=1,K443&lt;=10,K443=INT(K443)),FALSE)),F443*H443*K443,"")</f>
        <v/>
      </c>
      <c r="M443" s="54" t="str">
        <f>IF(L443="",IF(D443="","","À coter"),IF(OR(F443&gt;=p_gmin,L443&gt;=p_ipr_crit),"Critique",IF(L443&gt;=p_ipr_act,"Élevée",IF(L443&gt;=p_ipr_watch,"Moyenne","Faible"))))</f>
        <v/>
      </c>
      <c r="N443" s="54" t="str">
        <f>IF(OR(M443="",M443="À coter"),"",IF(OR(M443="Critique",M443="Élevée"),"Oui","Non"))</f>
        <v/>
      </c>
      <c r="O443" s="51" t="n"/>
      <c r="P443" s="51" t="n"/>
      <c r="Q443" s="55" t="n"/>
      <c r="R443" s="50" t="n"/>
      <c r="S443" s="55" t="n"/>
      <c r="T443" s="56" t="n"/>
      <c r="U443" s="52" t="n"/>
      <c r="V443" s="52" t="n"/>
      <c r="W443" s="52" t="n"/>
      <c r="X443" s="53" t="str">
        <f>IF(AND(L443&lt;&gt;"",IF(ISNUMBER(U443),AND(U443&gt;=1,U443&lt;=10,U443=INT(U443)),FALSE),IF(ISNUMBER(V443),AND(V443&gt;=1,V443&lt;=10,V443=INT(V443)),FALSE),IF(ISNUMBER(W443),AND(W443&gt;=1,W443&lt;=10,W443=INT(W443)),FALSE)),U443*V443*W443,"")</f>
        <v/>
      </c>
      <c r="Y443" s="54" t="str">
        <f>IF(X443="","",IF(OR(U443&gt;=p_gmin,X443&gt;=p_ipr_crit),"Critique",IF(X443&gt;=p_ipr_act,"Élevée",IF(X443&gt;=p_ipr_watch,"Moyenne","Faible"))))</f>
        <v/>
      </c>
      <c r="Z443" s="57" t="str">
        <f>IF(X443="","",(L443-X443)/L443)</f>
        <v/>
      </c>
      <c r="AA443" s="54" t="str">
        <f>IF(AND(D443="",O443=""),"",IF(O443="",IF(N443="Oui","Action à définir",IF(N443="Non","Sans action","")),IF(R443="Annulée","Annulée",IF(R443="Réalisée",IF(X443="","À réévaluer","Réalisée"),IF(N(Q443)=0,"Échéance manquante",IF(Q443&lt;p_today,"En retard",IF(Q443-p_today&lt;=p_alert,"Échéance proche","Dans les délais")))))))</f>
        <v/>
      </c>
      <c r="AB443" s="58" t="str">
        <f>IF(AND(A443="",B443="",D443="",F443="",H443="",K443="",O443=""),"",IF(D443="","Mode de défaillance manquant",IF(AND(A443&lt;&gt;"",COUNTIF(am_num,A443)&gt;1),"N° en double",IF(F443="","Gravité G manquante",IF(NOT(IF(ISNUMBER(F443),AND(F443&gt;=1,F443&lt;=10,F443=INT(F443)),FALSE)),"G : entier de 1 à 10",IF(H443="","Occurrence O manquante",IF(NOT(IF(ISNUMBER(H443),AND(H443&gt;=1,H443&lt;=10,H443=INT(H443)),FALSE)),"O : entier de 1 à 10",IF(K443="","Détection D manquante",IF(NOT(IF(ISNUMBER(K443),AND(K443&gt;=1,K443&lt;=10,K443=INT(K443)),FALSE)),"D : entier de 1 à 10",IF(G443="","Cause manquante",IF(AND(O443&lt;&gt;"",P443=""),"Responsable manquant",IF(AND(R443&lt;&gt;"",O443=""),"Statut sans action",IF(AND(R443="Réalisée",N(S443)=0),"Date de réalisation manquante",IF(AND(T443&lt;&gt;"",IF(ISNUMBER(T443),T443&lt;0,TRUE)),"Coût invalide",IF(AND(COUNTBLANK(U443:W443)&gt;0,COUNTBLANK(U443:W443)&lt;3),"Cotation après action incomplète",IF(AND(COUNTBLANK(U443:W443)=0,X443=""),"G', O', D' : entiers de 1 à 10",IF(AND(X443&lt;&gt;"",X443&gt;L443),"IPR après action plus élevé","OK")))))))))))))))))</f>
        <v/>
      </c>
      <c r="AC443" s="59" t="str">
        <f>IF(OR(AA443="En retard",AA443="Échéance proche",AA443="Dans les délais",AA443="Échéance manquante",AA443="Action à définir",AA443="À réévaluer"),IF(OR(plan_who="",P443=plan_who),IF(N(Q443)&gt;0,Q443,99999)*1000+ROW(),""),"")</f>
        <v/>
      </c>
      <c r="AD443" s="59" t="str">
        <f>IF(L443="","",L443*1000+1000-ROW())</f>
        <v/>
      </c>
      <c r="AE443" s="59" t="str">
        <f>IF(IF(AA443="En retard",1,IF(AA443="Action à définir",2,IF(AA443="Échéance manquante",3,IF(AA443="Échéance proche",4,IF(AA443="À réévaluer",5,0)))))=0,"",IF(AA443="En retard",1,IF(AA443="Action à définir",2,IF(AA443="Échéance manquante",3,IF(AA443="Échéance proche",4,IF(AA443="À réévaluer",5,0)))))*100000000+IF(N(Q443)&gt;0,Q443,99999)*1000+ROW())</f>
        <v/>
      </c>
      <c r="AF443" s="59" t="str">
        <f>IF(X443&lt;&gt;"",X443,L443)</f>
        <v/>
      </c>
      <c r="AG443" s="59" t="str">
        <f>IF(X443&lt;&gt;"",Y443,IF(L443&lt;&gt;"",M443,""))</f>
        <v/>
      </c>
      <c r="AH443" s="59" t="str">
        <f>IF(L443="","",IF(X443&lt;&gt;"",U443,F443))</f>
        <v/>
      </c>
      <c r="AI443" s="59" t="str">
        <f>IF(L443="","",IF(X443&lt;&gt;"",V443,H443))</f>
        <v/>
      </c>
    </row>
    <row r="444" ht="30" customHeight="1">
      <c r="A444" s="50" t="n"/>
      <c r="B444" s="51" t="n"/>
      <c r="C444" s="51" t="n"/>
      <c r="D444" s="51" t="n"/>
      <c r="E444" s="51" t="n"/>
      <c r="F444" s="52" t="n"/>
      <c r="G444" s="51" t="n"/>
      <c r="H444" s="52" t="n"/>
      <c r="I444" s="51" t="n"/>
      <c r="J444" s="51" t="n"/>
      <c r="K444" s="52" t="n"/>
      <c r="L444" s="53" t="str">
        <f>IF(AND(IF(ISNUMBER(F444),AND(F444&gt;=1,F444&lt;=10,F444=INT(F444)),FALSE),IF(ISNUMBER(H444),AND(H444&gt;=1,H444&lt;=10,H444=INT(H444)),FALSE),IF(ISNUMBER(K444),AND(K444&gt;=1,K444&lt;=10,K444=INT(K444)),FALSE)),F444*H444*K444,"")</f>
        <v/>
      </c>
      <c r="M444" s="54" t="str">
        <f>IF(L444="",IF(D444="","","À coter"),IF(OR(F444&gt;=p_gmin,L444&gt;=p_ipr_crit),"Critique",IF(L444&gt;=p_ipr_act,"Élevée",IF(L444&gt;=p_ipr_watch,"Moyenne","Faible"))))</f>
        <v/>
      </c>
      <c r="N444" s="54" t="str">
        <f>IF(OR(M444="",M444="À coter"),"",IF(OR(M444="Critique",M444="Élevée"),"Oui","Non"))</f>
        <v/>
      </c>
      <c r="O444" s="51" t="n"/>
      <c r="P444" s="51" t="n"/>
      <c r="Q444" s="55" t="n"/>
      <c r="R444" s="50" t="n"/>
      <c r="S444" s="55" t="n"/>
      <c r="T444" s="56" t="n"/>
      <c r="U444" s="52" t="n"/>
      <c r="V444" s="52" t="n"/>
      <c r="W444" s="52" t="n"/>
      <c r="X444" s="53" t="str">
        <f>IF(AND(L444&lt;&gt;"",IF(ISNUMBER(U444),AND(U444&gt;=1,U444&lt;=10,U444=INT(U444)),FALSE),IF(ISNUMBER(V444),AND(V444&gt;=1,V444&lt;=10,V444=INT(V444)),FALSE),IF(ISNUMBER(W444),AND(W444&gt;=1,W444&lt;=10,W444=INT(W444)),FALSE)),U444*V444*W444,"")</f>
        <v/>
      </c>
      <c r="Y444" s="54" t="str">
        <f>IF(X444="","",IF(OR(U444&gt;=p_gmin,X444&gt;=p_ipr_crit),"Critique",IF(X444&gt;=p_ipr_act,"Élevée",IF(X444&gt;=p_ipr_watch,"Moyenne","Faible"))))</f>
        <v/>
      </c>
      <c r="Z444" s="57" t="str">
        <f>IF(X444="","",(L444-X444)/L444)</f>
        <v/>
      </c>
      <c r="AA444" s="54" t="str">
        <f>IF(AND(D444="",O444=""),"",IF(O444="",IF(N444="Oui","Action à définir",IF(N444="Non","Sans action","")),IF(R444="Annulée","Annulée",IF(R444="Réalisée",IF(X444="","À réévaluer","Réalisée"),IF(N(Q444)=0,"Échéance manquante",IF(Q444&lt;p_today,"En retard",IF(Q444-p_today&lt;=p_alert,"Échéance proche","Dans les délais")))))))</f>
        <v/>
      </c>
      <c r="AB444" s="58" t="str">
        <f>IF(AND(A444="",B444="",D444="",F444="",H444="",K444="",O444=""),"",IF(D444="","Mode de défaillance manquant",IF(AND(A444&lt;&gt;"",COUNTIF(am_num,A444)&gt;1),"N° en double",IF(F444="","Gravité G manquante",IF(NOT(IF(ISNUMBER(F444),AND(F444&gt;=1,F444&lt;=10,F444=INT(F444)),FALSE)),"G : entier de 1 à 10",IF(H444="","Occurrence O manquante",IF(NOT(IF(ISNUMBER(H444),AND(H444&gt;=1,H444&lt;=10,H444=INT(H444)),FALSE)),"O : entier de 1 à 10",IF(K444="","Détection D manquante",IF(NOT(IF(ISNUMBER(K444),AND(K444&gt;=1,K444&lt;=10,K444=INT(K444)),FALSE)),"D : entier de 1 à 10",IF(G444="","Cause manquante",IF(AND(O444&lt;&gt;"",P444=""),"Responsable manquant",IF(AND(R444&lt;&gt;"",O444=""),"Statut sans action",IF(AND(R444="Réalisée",N(S444)=0),"Date de réalisation manquante",IF(AND(T444&lt;&gt;"",IF(ISNUMBER(T444),T444&lt;0,TRUE)),"Coût invalide",IF(AND(COUNTBLANK(U444:W444)&gt;0,COUNTBLANK(U444:W444)&lt;3),"Cotation après action incomplète",IF(AND(COUNTBLANK(U444:W444)=0,X444=""),"G', O', D' : entiers de 1 à 10",IF(AND(X444&lt;&gt;"",X444&gt;L444),"IPR après action plus élevé","OK")))))))))))))))))</f>
        <v/>
      </c>
      <c r="AC444" s="59" t="str">
        <f>IF(OR(AA444="En retard",AA444="Échéance proche",AA444="Dans les délais",AA444="Échéance manquante",AA444="Action à définir",AA444="À réévaluer"),IF(OR(plan_who="",P444=plan_who),IF(N(Q444)&gt;0,Q444,99999)*1000+ROW(),""),"")</f>
        <v/>
      </c>
      <c r="AD444" s="59" t="str">
        <f>IF(L444="","",L444*1000+1000-ROW())</f>
        <v/>
      </c>
      <c r="AE444" s="59" t="str">
        <f>IF(IF(AA444="En retard",1,IF(AA444="Action à définir",2,IF(AA444="Échéance manquante",3,IF(AA444="Échéance proche",4,IF(AA444="À réévaluer",5,0)))))=0,"",IF(AA444="En retard",1,IF(AA444="Action à définir",2,IF(AA444="Échéance manquante",3,IF(AA444="Échéance proche",4,IF(AA444="À réévaluer",5,0)))))*100000000+IF(N(Q444)&gt;0,Q444,99999)*1000+ROW())</f>
        <v/>
      </c>
      <c r="AF444" s="59" t="str">
        <f>IF(X444&lt;&gt;"",X444,L444)</f>
        <v/>
      </c>
      <c r="AG444" s="59" t="str">
        <f>IF(X444&lt;&gt;"",Y444,IF(L444&lt;&gt;"",M444,""))</f>
        <v/>
      </c>
      <c r="AH444" s="59" t="str">
        <f>IF(L444="","",IF(X444&lt;&gt;"",U444,F444))</f>
        <v/>
      </c>
      <c r="AI444" s="59" t="str">
        <f>IF(L444="","",IF(X444&lt;&gt;"",V444,H444))</f>
        <v/>
      </c>
    </row>
    <row r="445" ht="30" customHeight="1">
      <c r="A445" s="50" t="n"/>
      <c r="B445" s="51" t="n"/>
      <c r="C445" s="51" t="n"/>
      <c r="D445" s="51" t="n"/>
      <c r="E445" s="51" t="n"/>
      <c r="F445" s="52" t="n"/>
      <c r="G445" s="51" t="n"/>
      <c r="H445" s="52" t="n"/>
      <c r="I445" s="51" t="n"/>
      <c r="J445" s="51" t="n"/>
      <c r="K445" s="52" t="n"/>
      <c r="L445" s="53" t="str">
        <f>IF(AND(IF(ISNUMBER(F445),AND(F445&gt;=1,F445&lt;=10,F445=INT(F445)),FALSE),IF(ISNUMBER(H445),AND(H445&gt;=1,H445&lt;=10,H445=INT(H445)),FALSE),IF(ISNUMBER(K445),AND(K445&gt;=1,K445&lt;=10,K445=INT(K445)),FALSE)),F445*H445*K445,"")</f>
        <v/>
      </c>
      <c r="M445" s="54" t="str">
        <f>IF(L445="",IF(D445="","","À coter"),IF(OR(F445&gt;=p_gmin,L445&gt;=p_ipr_crit),"Critique",IF(L445&gt;=p_ipr_act,"Élevée",IF(L445&gt;=p_ipr_watch,"Moyenne","Faible"))))</f>
        <v/>
      </c>
      <c r="N445" s="54" t="str">
        <f>IF(OR(M445="",M445="À coter"),"",IF(OR(M445="Critique",M445="Élevée"),"Oui","Non"))</f>
        <v/>
      </c>
      <c r="O445" s="51" t="n"/>
      <c r="P445" s="51" t="n"/>
      <c r="Q445" s="55" t="n"/>
      <c r="R445" s="50" t="n"/>
      <c r="S445" s="55" t="n"/>
      <c r="T445" s="56" t="n"/>
      <c r="U445" s="52" t="n"/>
      <c r="V445" s="52" t="n"/>
      <c r="W445" s="52" t="n"/>
      <c r="X445" s="53" t="str">
        <f>IF(AND(L445&lt;&gt;"",IF(ISNUMBER(U445),AND(U445&gt;=1,U445&lt;=10,U445=INT(U445)),FALSE),IF(ISNUMBER(V445),AND(V445&gt;=1,V445&lt;=10,V445=INT(V445)),FALSE),IF(ISNUMBER(W445),AND(W445&gt;=1,W445&lt;=10,W445=INT(W445)),FALSE)),U445*V445*W445,"")</f>
        <v/>
      </c>
      <c r="Y445" s="54" t="str">
        <f>IF(X445="","",IF(OR(U445&gt;=p_gmin,X445&gt;=p_ipr_crit),"Critique",IF(X445&gt;=p_ipr_act,"Élevée",IF(X445&gt;=p_ipr_watch,"Moyenne","Faible"))))</f>
        <v/>
      </c>
      <c r="Z445" s="57" t="str">
        <f>IF(X445="","",(L445-X445)/L445)</f>
        <v/>
      </c>
      <c r="AA445" s="54" t="str">
        <f>IF(AND(D445="",O445=""),"",IF(O445="",IF(N445="Oui","Action à définir",IF(N445="Non","Sans action","")),IF(R445="Annulée","Annulée",IF(R445="Réalisée",IF(X445="","À réévaluer","Réalisée"),IF(N(Q445)=0,"Échéance manquante",IF(Q445&lt;p_today,"En retard",IF(Q445-p_today&lt;=p_alert,"Échéance proche","Dans les délais")))))))</f>
        <v/>
      </c>
      <c r="AB445" s="58" t="str">
        <f>IF(AND(A445="",B445="",D445="",F445="",H445="",K445="",O445=""),"",IF(D445="","Mode de défaillance manquant",IF(AND(A445&lt;&gt;"",COUNTIF(am_num,A445)&gt;1),"N° en double",IF(F445="","Gravité G manquante",IF(NOT(IF(ISNUMBER(F445),AND(F445&gt;=1,F445&lt;=10,F445=INT(F445)),FALSE)),"G : entier de 1 à 10",IF(H445="","Occurrence O manquante",IF(NOT(IF(ISNUMBER(H445),AND(H445&gt;=1,H445&lt;=10,H445=INT(H445)),FALSE)),"O : entier de 1 à 10",IF(K445="","Détection D manquante",IF(NOT(IF(ISNUMBER(K445),AND(K445&gt;=1,K445&lt;=10,K445=INT(K445)),FALSE)),"D : entier de 1 à 10",IF(G445="","Cause manquante",IF(AND(O445&lt;&gt;"",P445=""),"Responsable manquant",IF(AND(R445&lt;&gt;"",O445=""),"Statut sans action",IF(AND(R445="Réalisée",N(S445)=0),"Date de réalisation manquante",IF(AND(T445&lt;&gt;"",IF(ISNUMBER(T445),T445&lt;0,TRUE)),"Coût invalide",IF(AND(COUNTBLANK(U445:W445)&gt;0,COUNTBLANK(U445:W445)&lt;3),"Cotation après action incomplète",IF(AND(COUNTBLANK(U445:W445)=0,X445=""),"G', O', D' : entiers de 1 à 10",IF(AND(X445&lt;&gt;"",X445&gt;L445),"IPR après action plus élevé","OK")))))))))))))))))</f>
        <v/>
      </c>
      <c r="AC445" s="59" t="str">
        <f>IF(OR(AA445="En retard",AA445="Échéance proche",AA445="Dans les délais",AA445="Échéance manquante",AA445="Action à définir",AA445="À réévaluer"),IF(OR(plan_who="",P445=plan_who),IF(N(Q445)&gt;0,Q445,99999)*1000+ROW(),""),"")</f>
        <v/>
      </c>
      <c r="AD445" s="59" t="str">
        <f>IF(L445="","",L445*1000+1000-ROW())</f>
        <v/>
      </c>
      <c r="AE445" s="59" t="str">
        <f>IF(IF(AA445="En retard",1,IF(AA445="Action à définir",2,IF(AA445="Échéance manquante",3,IF(AA445="Échéance proche",4,IF(AA445="À réévaluer",5,0)))))=0,"",IF(AA445="En retard",1,IF(AA445="Action à définir",2,IF(AA445="Échéance manquante",3,IF(AA445="Échéance proche",4,IF(AA445="À réévaluer",5,0)))))*100000000+IF(N(Q445)&gt;0,Q445,99999)*1000+ROW())</f>
        <v/>
      </c>
      <c r="AF445" s="59" t="str">
        <f>IF(X445&lt;&gt;"",X445,L445)</f>
        <v/>
      </c>
      <c r="AG445" s="59" t="str">
        <f>IF(X445&lt;&gt;"",Y445,IF(L445&lt;&gt;"",M445,""))</f>
        <v/>
      </c>
      <c r="AH445" s="59" t="str">
        <f>IF(L445="","",IF(X445&lt;&gt;"",U445,F445))</f>
        <v/>
      </c>
      <c r="AI445" s="59" t="str">
        <f>IF(L445="","",IF(X445&lt;&gt;"",V445,H445))</f>
        <v/>
      </c>
    </row>
    <row r="446" ht="30" customHeight="1">
      <c r="A446" s="50" t="n"/>
      <c r="B446" s="51" t="n"/>
      <c r="C446" s="51" t="n"/>
      <c r="D446" s="51" t="n"/>
      <c r="E446" s="51" t="n"/>
      <c r="F446" s="52" t="n"/>
      <c r="G446" s="51" t="n"/>
      <c r="H446" s="52" t="n"/>
      <c r="I446" s="51" t="n"/>
      <c r="J446" s="51" t="n"/>
      <c r="K446" s="52" t="n"/>
      <c r="L446" s="53" t="str">
        <f>IF(AND(IF(ISNUMBER(F446),AND(F446&gt;=1,F446&lt;=10,F446=INT(F446)),FALSE),IF(ISNUMBER(H446),AND(H446&gt;=1,H446&lt;=10,H446=INT(H446)),FALSE),IF(ISNUMBER(K446),AND(K446&gt;=1,K446&lt;=10,K446=INT(K446)),FALSE)),F446*H446*K446,"")</f>
        <v/>
      </c>
      <c r="M446" s="54" t="str">
        <f>IF(L446="",IF(D446="","","À coter"),IF(OR(F446&gt;=p_gmin,L446&gt;=p_ipr_crit),"Critique",IF(L446&gt;=p_ipr_act,"Élevée",IF(L446&gt;=p_ipr_watch,"Moyenne","Faible"))))</f>
        <v/>
      </c>
      <c r="N446" s="54" t="str">
        <f>IF(OR(M446="",M446="À coter"),"",IF(OR(M446="Critique",M446="Élevée"),"Oui","Non"))</f>
        <v/>
      </c>
      <c r="O446" s="51" t="n"/>
      <c r="P446" s="51" t="n"/>
      <c r="Q446" s="55" t="n"/>
      <c r="R446" s="50" t="n"/>
      <c r="S446" s="55" t="n"/>
      <c r="T446" s="56" t="n"/>
      <c r="U446" s="52" t="n"/>
      <c r="V446" s="52" t="n"/>
      <c r="W446" s="52" t="n"/>
      <c r="X446" s="53" t="str">
        <f>IF(AND(L446&lt;&gt;"",IF(ISNUMBER(U446),AND(U446&gt;=1,U446&lt;=10,U446=INT(U446)),FALSE),IF(ISNUMBER(V446),AND(V446&gt;=1,V446&lt;=10,V446=INT(V446)),FALSE),IF(ISNUMBER(W446),AND(W446&gt;=1,W446&lt;=10,W446=INT(W446)),FALSE)),U446*V446*W446,"")</f>
        <v/>
      </c>
      <c r="Y446" s="54" t="str">
        <f>IF(X446="","",IF(OR(U446&gt;=p_gmin,X446&gt;=p_ipr_crit),"Critique",IF(X446&gt;=p_ipr_act,"Élevée",IF(X446&gt;=p_ipr_watch,"Moyenne","Faible"))))</f>
        <v/>
      </c>
      <c r="Z446" s="57" t="str">
        <f>IF(X446="","",(L446-X446)/L446)</f>
        <v/>
      </c>
      <c r="AA446" s="54" t="str">
        <f>IF(AND(D446="",O446=""),"",IF(O446="",IF(N446="Oui","Action à définir",IF(N446="Non","Sans action","")),IF(R446="Annulée","Annulée",IF(R446="Réalisée",IF(X446="","À réévaluer","Réalisée"),IF(N(Q446)=0,"Échéance manquante",IF(Q446&lt;p_today,"En retard",IF(Q446-p_today&lt;=p_alert,"Échéance proche","Dans les délais")))))))</f>
        <v/>
      </c>
      <c r="AB446" s="58" t="str">
        <f>IF(AND(A446="",B446="",D446="",F446="",H446="",K446="",O446=""),"",IF(D446="","Mode de défaillance manquant",IF(AND(A446&lt;&gt;"",COUNTIF(am_num,A446)&gt;1),"N° en double",IF(F446="","Gravité G manquante",IF(NOT(IF(ISNUMBER(F446),AND(F446&gt;=1,F446&lt;=10,F446=INT(F446)),FALSE)),"G : entier de 1 à 10",IF(H446="","Occurrence O manquante",IF(NOT(IF(ISNUMBER(H446),AND(H446&gt;=1,H446&lt;=10,H446=INT(H446)),FALSE)),"O : entier de 1 à 10",IF(K446="","Détection D manquante",IF(NOT(IF(ISNUMBER(K446),AND(K446&gt;=1,K446&lt;=10,K446=INT(K446)),FALSE)),"D : entier de 1 à 10",IF(G446="","Cause manquante",IF(AND(O446&lt;&gt;"",P446=""),"Responsable manquant",IF(AND(R446&lt;&gt;"",O446=""),"Statut sans action",IF(AND(R446="Réalisée",N(S446)=0),"Date de réalisation manquante",IF(AND(T446&lt;&gt;"",IF(ISNUMBER(T446),T446&lt;0,TRUE)),"Coût invalide",IF(AND(COUNTBLANK(U446:W446)&gt;0,COUNTBLANK(U446:W446)&lt;3),"Cotation après action incomplète",IF(AND(COUNTBLANK(U446:W446)=0,X446=""),"G', O', D' : entiers de 1 à 10",IF(AND(X446&lt;&gt;"",X446&gt;L446),"IPR après action plus élevé","OK")))))))))))))))))</f>
        <v/>
      </c>
      <c r="AC446" s="59" t="str">
        <f>IF(OR(AA446="En retard",AA446="Échéance proche",AA446="Dans les délais",AA446="Échéance manquante",AA446="Action à définir",AA446="À réévaluer"),IF(OR(plan_who="",P446=plan_who),IF(N(Q446)&gt;0,Q446,99999)*1000+ROW(),""),"")</f>
        <v/>
      </c>
      <c r="AD446" s="59" t="str">
        <f>IF(L446="","",L446*1000+1000-ROW())</f>
        <v/>
      </c>
      <c r="AE446" s="59" t="str">
        <f>IF(IF(AA446="En retard",1,IF(AA446="Action à définir",2,IF(AA446="Échéance manquante",3,IF(AA446="Échéance proche",4,IF(AA446="À réévaluer",5,0)))))=0,"",IF(AA446="En retard",1,IF(AA446="Action à définir",2,IF(AA446="Échéance manquante",3,IF(AA446="Échéance proche",4,IF(AA446="À réévaluer",5,0)))))*100000000+IF(N(Q446)&gt;0,Q446,99999)*1000+ROW())</f>
        <v/>
      </c>
      <c r="AF446" s="59" t="str">
        <f>IF(X446&lt;&gt;"",X446,L446)</f>
        <v/>
      </c>
      <c r="AG446" s="59" t="str">
        <f>IF(X446&lt;&gt;"",Y446,IF(L446&lt;&gt;"",M446,""))</f>
        <v/>
      </c>
      <c r="AH446" s="59" t="str">
        <f>IF(L446="","",IF(X446&lt;&gt;"",U446,F446))</f>
        <v/>
      </c>
      <c r="AI446" s="59" t="str">
        <f>IF(L446="","",IF(X446&lt;&gt;"",V446,H446))</f>
        <v/>
      </c>
    </row>
    <row r="447" ht="30" customHeight="1">
      <c r="A447" s="50" t="n"/>
      <c r="B447" s="51" t="n"/>
      <c r="C447" s="51" t="n"/>
      <c r="D447" s="51" t="n"/>
      <c r="E447" s="51" t="n"/>
      <c r="F447" s="52" t="n"/>
      <c r="G447" s="51" t="n"/>
      <c r="H447" s="52" t="n"/>
      <c r="I447" s="51" t="n"/>
      <c r="J447" s="51" t="n"/>
      <c r="K447" s="52" t="n"/>
      <c r="L447" s="53" t="str">
        <f>IF(AND(IF(ISNUMBER(F447),AND(F447&gt;=1,F447&lt;=10,F447=INT(F447)),FALSE),IF(ISNUMBER(H447),AND(H447&gt;=1,H447&lt;=10,H447=INT(H447)),FALSE),IF(ISNUMBER(K447),AND(K447&gt;=1,K447&lt;=10,K447=INT(K447)),FALSE)),F447*H447*K447,"")</f>
        <v/>
      </c>
      <c r="M447" s="54" t="str">
        <f>IF(L447="",IF(D447="","","À coter"),IF(OR(F447&gt;=p_gmin,L447&gt;=p_ipr_crit),"Critique",IF(L447&gt;=p_ipr_act,"Élevée",IF(L447&gt;=p_ipr_watch,"Moyenne","Faible"))))</f>
        <v/>
      </c>
      <c r="N447" s="54" t="str">
        <f>IF(OR(M447="",M447="À coter"),"",IF(OR(M447="Critique",M447="Élevée"),"Oui","Non"))</f>
        <v/>
      </c>
      <c r="O447" s="51" t="n"/>
      <c r="P447" s="51" t="n"/>
      <c r="Q447" s="55" t="n"/>
      <c r="R447" s="50" t="n"/>
      <c r="S447" s="55" t="n"/>
      <c r="T447" s="56" t="n"/>
      <c r="U447" s="52" t="n"/>
      <c r="V447" s="52" t="n"/>
      <c r="W447" s="52" t="n"/>
      <c r="X447" s="53" t="str">
        <f>IF(AND(L447&lt;&gt;"",IF(ISNUMBER(U447),AND(U447&gt;=1,U447&lt;=10,U447=INT(U447)),FALSE),IF(ISNUMBER(V447),AND(V447&gt;=1,V447&lt;=10,V447=INT(V447)),FALSE),IF(ISNUMBER(W447),AND(W447&gt;=1,W447&lt;=10,W447=INT(W447)),FALSE)),U447*V447*W447,"")</f>
        <v/>
      </c>
      <c r="Y447" s="54" t="str">
        <f>IF(X447="","",IF(OR(U447&gt;=p_gmin,X447&gt;=p_ipr_crit),"Critique",IF(X447&gt;=p_ipr_act,"Élevée",IF(X447&gt;=p_ipr_watch,"Moyenne","Faible"))))</f>
        <v/>
      </c>
      <c r="Z447" s="57" t="str">
        <f>IF(X447="","",(L447-X447)/L447)</f>
        <v/>
      </c>
      <c r="AA447" s="54" t="str">
        <f>IF(AND(D447="",O447=""),"",IF(O447="",IF(N447="Oui","Action à définir",IF(N447="Non","Sans action","")),IF(R447="Annulée","Annulée",IF(R447="Réalisée",IF(X447="","À réévaluer","Réalisée"),IF(N(Q447)=0,"Échéance manquante",IF(Q447&lt;p_today,"En retard",IF(Q447-p_today&lt;=p_alert,"Échéance proche","Dans les délais")))))))</f>
        <v/>
      </c>
      <c r="AB447" s="58" t="str">
        <f>IF(AND(A447="",B447="",D447="",F447="",H447="",K447="",O447=""),"",IF(D447="","Mode de défaillance manquant",IF(AND(A447&lt;&gt;"",COUNTIF(am_num,A447)&gt;1),"N° en double",IF(F447="","Gravité G manquante",IF(NOT(IF(ISNUMBER(F447),AND(F447&gt;=1,F447&lt;=10,F447=INT(F447)),FALSE)),"G : entier de 1 à 10",IF(H447="","Occurrence O manquante",IF(NOT(IF(ISNUMBER(H447),AND(H447&gt;=1,H447&lt;=10,H447=INT(H447)),FALSE)),"O : entier de 1 à 10",IF(K447="","Détection D manquante",IF(NOT(IF(ISNUMBER(K447),AND(K447&gt;=1,K447&lt;=10,K447=INT(K447)),FALSE)),"D : entier de 1 à 10",IF(G447="","Cause manquante",IF(AND(O447&lt;&gt;"",P447=""),"Responsable manquant",IF(AND(R447&lt;&gt;"",O447=""),"Statut sans action",IF(AND(R447="Réalisée",N(S447)=0),"Date de réalisation manquante",IF(AND(T447&lt;&gt;"",IF(ISNUMBER(T447),T447&lt;0,TRUE)),"Coût invalide",IF(AND(COUNTBLANK(U447:W447)&gt;0,COUNTBLANK(U447:W447)&lt;3),"Cotation après action incomplète",IF(AND(COUNTBLANK(U447:W447)=0,X447=""),"G', O', D' : entiers de 1 à 10",IF(AND(X447&lt;&gt;"",X447&gt;L447),"IPR après action plus élevé","OK")))))))))))))))))</f>
        <v/>
      </c>
      <c r="AC447" s="59" t="str">
        <f>IF(OR(AA447="En retard",AA447="Échéance proche",AA447="Dans les délais",AA447="Échéance manquante",AA447="Action à définir",AA447="À réévaluer"),IF(OR(plan_who="",P447=plan_who),IF(N(Q447)&gt;0,Q447,99999)*1000+ROW(),""),"")</f>
        <v/>
      </c>
      <c r="AD447" s="59" t="str">
        <f>IF(L447="","",L447*1000+1000-ROW())</f>
        <v/>
      </c>
      <c r="AE447" s="59" t="str">
        <f>IF(IF(AA447="En retard",1,IF(AA447="Action à définir",2,IF(AA447="Échéance manquante",3,IF(AA447="Échéance proche",4,IF(AA447="À réévaluer",5,0)))))=0,"",IF(AA447="En retard",1,IF(AA447="Action à définir",2,IF(AA447="Échéance manquante",3,IF(AA447="Échéance proche",4,IF(AA447="À réévaluer",5,0)))))*100000000+IF(N(Q447)&gt;0,Q447,99999)*1000+ROW())</f>
        <v/>
      </c>
      <c r="AF447" s="59" t="str">
        <f>IF(X447&lt;&gt;"",X447,L447)</f>
        <v/>
      </c>
      <c r="AG447" s="59" t="str">
        <f>IF(X447&lt;&gt;"",Y447,IF(L447&lt;&gt;"",M447,""))</f>
        <v/>
      </c>
      <c r="AH447" s="59" t="str">
        <f>IF(L447="","",IF(X447&lt;&gt;"",U447,F447))</f>
        <v/>
      </c>
      <c r="AI447" s="59" t="str">
        <f>IF(L447="","",IF(X447&lt;&gt;"",V447,H447))</f>
        <v/>
      </c>
    </row>
    <row r="448" ht="30" customHeight="1">
      <c r="A448" s="50" t="n"/>
      <c r="B448" s="51" t="n"/>
      <c r="C448" s="51" t="n"/>
      <c r="D448" s="51" t="n"/>
      <c r="E448" s="51" t="n"/>
      <c r="F448" s="52" t="n"/>
      <c r="G448" s="51" t="n"/>
      <c r="H448" s="52" t="n"/>
      <c r="I448" s="51" t="n"/>
      <c r="J448" s="51" t="n"/>
      <c r="K448" s="52" t="n"/>
      <c r="L448" s="53" t="str">
        <f>IF(AND(IF(ISNUMBER(F448),AND(F448&gt;=1,F448&lt;=10,F448=INT(F448)),FALSE),IF(ISNUMBER(H448),AND(H448&gt;=1,H448&lt;=10,H448=INT(H448)),FALSE),IF(ISNUMBER(K448),AND(K448&gt;=1,K448&lt;=10,K448=INT(K448)),FALSE)),F448*H448*K448,"")</f>
        <v/>
      </c>
      <c r="M448" s="54" t="str">
        <f>IF(L448="",IF(D448="","","À coter"),IF(OR(F448&gt;=p_gmin,L448&gt;=p_ipr_crit),"Critique",IF(L448&gt;=p_ipr_act,"Élevée",IF(L448&gt;=p_ipr_watch,"Moyenne","Faible"))))</f>
        <v/>
      </c>
      <c r="N448" s="54" t="str">
        <f>IF(OR(M448="",M448="À coter"),"",IF(OR(M448="Critique",M448="Élevée"),"Oui","Non"))</f>
        <v/>
      </c>
      <c r="O448" s="51" t="n"/>
      <c r="P448" s="51" t="n"/>
      <c r="Q448" s="55" t="n"/>
      <c r="R448" s="50" t="n"/>
      <c r="S448" s="55" t="n"/>
      <c r="T448" s="56" t="n"/>
      <c r="U448" s="52" t="n"/>
      <c r="V448" s="52" t="n"/>
      <c r="W448" s="52" t="n"/>
      <c r="X448" s="53" t="str">
        <f>IF(AND(L448&lt;&gt;"",IF(ISNUMBER(U448),AND(U448&gt;=1,U448&lt;=10,U448=INT(U448)),FALSE),IF(ISNUMBER(V448),AND(V448&gt;=1,V448&lt;=10,V448=INT(V448)),FALSE),IF(ISNUMBER(W448),AND(W448&gt;=1,W448&lt;=10,W448=INT(W448)),FALSE)),U448*V448*W448,"")</f>
        <v/>
      </c>
      <c r="Y448" s="54" t="str">
        <f>IF(X448="","",IF(OR(U448&gt;=p_gmin,X448&gt;=p_ipr_crit),"Critique",IF(X448&gt;=p_ipr_act,"Élevée",IF(X448&gt;=p_ipr_watch,"Moyenne","Faible"))))</f>
        <v/>
      </c>
      <c r="Z448" s="57" t="str">
        <f>IF(X448="","",(L448-X448)/L448)</f>
        <v/>
      </c>
      <c r="AA448" s="54" t="str">
        <f>IF(AND(D448="",O448=""),"",IF(O448="",IF(N448="Oui","Action à définir",IF(N448="Non","Sans action","")),IF(R448="Annulée","Annulée",IF(R448="Réalisée",IF(X448="","À réévaluer","Réalisée"),IF(N(Q448)=0,"Échéance manquante",IF(Q448&lt;p_today,"En retard",IF(Q448-p_today&lt;=p_alert,"Échéance proche","Dans les délais")))))))</f>
        <v/>
      </c>
      <c r="AB448" s="58" t="str">
        <f>IF(AND(A448="",B448="",D448="",F448="",H448="",K448="",O448=""),"",IF(D448="","Mode de défaillance manquant",IF(AND(A448&lt;&gt;"",COUNTIF(am_num,A448)&gt;1),"N° en double",IF(F448="","Gravité G manquante",IF(NOT(IF(ISNUMBER(F448),AND(F448&gt;=1,F448&lt;=10,F448=INT(F448)),FALSE)),"G : entier de 1 à 10",IF(H448="","Occurrence O manquante",IF(NOT(IF(ISNUMBER(H448),AND(H448&gt;=1,H448&lt;=10,H448=INT(H448)),FALSE)),"O : entier de 1 à 10",IF(K448="","Détection D manquante",IF(NOT(IF(ISNUMBER(K448),AND(K448&gt;=1,K448&lt;=10,K448=INT(K448)),FALSE)),"D : entier de 1 à 10",IF(G448="","Cause manquante",IF(AND(O448&lt;&gt;"",P448=""),"Responsable manquant",IF(AND(R448&lt;&gt;"",O448=""),"Statut sans action",IF(AND(R448="Réalisée",N(S448)=0),"Date de réalisation manquante",IF(AND(T448&lt;&gt;"",IF(ISNUMBER(T448),T448&lt;0,TRUE)),"Coût invalide",IF(AND(COUNTBLANK(U448:W448)&gt;0,COUNTBLANK(U448:W448)&lt;3),"Cotation après action incomplète",IF(AND(COUNTBLANK(U448:W448)=0,X448=""),"G', O', D' : entiers de 1 à 10",IF(AND(X448&lt;&gt;"",X448&gt;L448),"IPR après action plus élevé","OK")))))))))))))))))</f>
        <v/>
      </c>
      <c r="AC448" s="59" t="str">
        <f>IF(OR(AA448="En retard",AA448="Échéance proche",AA448="Dans les délais",AA448="Échéance manquante",AA448="Action à définir",AA448="À réévaluer"),IF(OR(plan_who="",P448=plan_who),IF(N(Q448)&gt;0,Q448,99999)*1000+ROW(),""),"")</f>
        <v/>
      </c>
      <c r="AD448" s="59" t="str">
        <f>IF(L448="","",L448*1000+1000-ROW())</f>
        <v/>
      </c>
      <c r="AE448" s="59" t="str">
        <f>IF(IF(AA448="En retard",1,IF(AA448="Action à définir",2,IF(AA448="Échéance manquante",3,IF(AA448="Échéance proche",4,IF(AA448="À réévaluer",5,0)))))=0,"",IF(AA448="En retard",1,IF(AA448="Action à définir",2,IF(AA448="Échéance manquante",3,IF(AA448="Échéance proche",4,IF(AA448="À réévaluer",5,0)))))*100000000+IF(N(Q448)&gt;0,Q448,99999)*1000+ROW())</f>
        <v/>
      </c>
      <c r="AF448" s="59" t="str">
        <f>IF(X448&lt;&gt;"",X448,L448)</f>
        <v/>
      </c>
      <c r="AG448" s="59" t="str">
        <f>IF(X448&lt;&gt;"",Y448,IF(L448&lt;&gt;"",M448,""))</f>
        <v/>
      </c>
      <c r="AH448" s="59" t="str">
        <f>IF(L448="","",IF(X448&lt;&gt;"",U448,F448))</f>
        <v/>
      </c>
      <c r="AI448" s="59" t="str">
        <f>IF(L448="","",IF(X448&lt;&gt;"",V448,H448))</f>
        <v/>
      </c>
    </row>
    <row r="449" ht="30" customHeight="1">
      <c r="A449" s="50" t="n"/>
      <c r="B449" s="51" t="n"/>
      <c r="C449" s="51" t="n"/>
      <c r="D449" s="51" t="n"/>
      <c r="E449" s="51" t="n"/>
      <c r="F449" s="52" t="n"/>
      <c r="G449" s="51" t="n"/>
      <c r="H449" s="52" t="n"/>
      <c r="I449" s="51" t="n"/>
      <c r="J449" s="51" t="n"/>
      <c r="K449" s="52" t="n"/>
      <c r="L449" s="53" t="str">
        <f>IF(AND(IF(ISNUMBER(F449),AND(F449&gt;=1,F449&lt;=10,F449=INT(F449)),FALSE),IF(ISNUMBER(H449),AND(H449&gt;=1,H449&lt;=10,H449=INT(H449)),FALSE),IF(ISNUMBER(K449),AND(K449&gt;=1,K449&lt;=10,K449=INT(K449)),FALSE)),F449*H449*K449,"")</f>
        <v/>
      </c>
      <c r="M449" s="54" t="str">
        <f>IF(L449="",IF(D449="","","À coter"),IF(OR(F449&gt;=p_gmin,L449&gt;=p_ipr_crit),"Critique",IF(L449&gt;=p_ipr_act,"Élevée",IF(L449&gt;=p_ipr_watch,"Moyenne","Faible"))))</f>
        <v/>
      </c>
      <c r="N449" s="54" t="str">
        <f>IF(OR(M449="",M449="À coter"),"",IF(OR(M449="Critique",M449="Élevée"),"Oui","Non"))</f>
        <v/>
      </c>
      <c r="O449" s="51" t="n"/>
      <c r="P449" s="51" t="n"/>
      <c r="Q449" s="55" t="n"/>
      <c r="R449" s="50" t="n"/>
      <c r="S449" s="55" t="n"/>
      <c r="T449" s="56" t="n"/>
      <c r="U449" s="52" t="n"/>
      <c r="V449" s="52" t="n"/>
      <c r="W449" s="52" t="n"/>
      <c r="X449" s="53" t="str">
        <f>IF(AND(L449&lt;&gt;"",IF(ISNUMBER(U449),AND(U449&gt;=1,U449&lt;=10,U449=INT(U449)),FALSE),IF(ISNUMBER(V449),AND(V449&gt;=1,V449&lt;=10,V449=INT(V449)),FALSE),IF(ISNUMBER(W449),AND(W449&gt;=1,W449&lt;=10,W449=INT(W449)),FALSE)),U449*V449*W449,"")</f>
        <v/>
      </c>
      <c r="Y449" s="54" t="str">
        <f>IF(X449="","",IF(OR(U449&gt;=p_gmin,X449&gt;=p_ipr_crit),"Critique",IF(X449&gt;=p_ipr_act,"Élevée",IF(X449&gt;=p_ipr_watch,"Moyenne","Faible"))))</f>
        <v/>
      </c>
      <c r="Z449" s="57" t="str">
        <f>IF(X449="","",(L449-X449)/L449)</f>
        <v/>
      </c>
      <c r="AA449" s="54" t="str">
        <f>IF(AND(D449="",O449=""),"",IF(O449="",IF(N449="Oui","Action à définir",IF(N449="Non","Sans action","")),IF(R449="Annulée","Annulée",IF(R449="Réalisée",IF(X449="","À réévaluer","Réalisée"),IF(N(Q449)=0,"Échéance manquante",IF(Q449&lt;p_today,"En retard",IF(Q449-p_today&lt;=p_alert,"Échéance proche","Dans les délais")))))))</f>
        <v/>
      </c>
      <c r="AB449" s="58" t="str">
        <f>IF(AND(A449="",B449="",D449="",F449="",H449="",K449="",O449=""),"",IF(D449="","Mode de défaillance manquant",IF(AND(A449&lt;&gt;"",COUNTIF(am_num,A449)&gt;1),"N° en double",IF(F449="","Gravité G manquante",IF(NOT(IF(ISNUMBER(F449),AND(F449&gt;=1,F449&lt;=10,F449=INT(F449)),FALSE)),"G : entier de 1 à 10",IF(H449="","Occurrence O manquante",IF(NOT(IF(ISNUMBER(H449),AND(H449&gt;=1,H449&lt;=10,H449=INT(H449)),FALSE)),"O : entier de 1 à 10",IF(K449="","Détection D manquante",IF(NOT(IF(ISNUMBER(K449),AND(K449&gt;=1,K449&lt;=10,K449=INT(K449)),FALSE)),"D : entier de 1 à 10",IF(G449="","Cause manquante",IF(AND(O449&lt;&gt;"",P449=""),"Responsable manquant",IF(AND(R449&lt;&gt;"",O449=""),"Statut sans action",IF(AND(R449="Réalisée",N(S449)=0),"Date de réalisation manquante",IF(AND(T449&lt;&gt;"",IF(ISNUMBER(T449),T449&lt;0,TRUE)),"Coût invalide",IF(AND(COUNTBLANK(U449:W449)&gt;0,COUNTBLANK(U449:W449)&lt;3),"Cotation après action incomplète",IF(AND(COUNTBLANK(U449:W449)=0,X449=""),"G', O', D' : entiers de 1 à 10",IF(AND(X449&lt;&gt;"",X449&gt;L449),"IPR après action plus élevé","OK")))))))))))))))))</f>
        <v/>
      </c>
      <c r="AC449" s="59" t="str">
        <f>IF(OR(AA449="En retard",AA449="Échéance proche",AA449="Dans les délais",AA449="Échéance manquante",AA449="Action à définir",AA449="À réévaluer"),IF(OR(plan_who="",P449=plan_who),IF(N(Q449)&gt;0,Q449,99999)*1000+ROW(),""),"")</f>
        <v/>
      </c>
      <c r="AD449" s="59" t="str">
        <f>IF(L449="","",L449*1000+1000-ROW())</f>
        <v/>
      </c>
      <c r="AE449" s="59" t="str">
        <f>IF(IF(AA449="En retard",1,IF(AA449="Action à définir",2,IF(AA449="Échéance manquante",3,IF(AA449="Échéance proche",4,IF(AA449="À réévaluer",5,0)))))=0,"",IF(AA449="En retard",1,IF(AA449="Action à définir",2,IF(AA449="Échéance manquante",3,IF(AA449="Échéance proche",4,IF(AA449="À réévaluer",5,0)))))*100000000+IF(N(Q449)&gt;0,Q449,99999)*1000+ROW())</f>
        <v/>
      </c>
      <c r="AF449" s="59" t="str">
        <f>IF(X449&lt;&gt;"",X449,L449)</f>
        <v/>
      </c>
      <c r="AG449" s="59" t="str">
        <f>IF(X449&lt;&gt;"",Y449,IF(L449&lt;&gt;"",M449,""))</f>
        <v/>
      </c>
      <c r="AH449" s="59" t="str">
        <f>IF(L449="","",IF(X449&lt;&gt;"",U449,F449))</f>
        <v/>
      </c>
      <c r="AI449" s="59" t="str">
        <f>IF(L449="","",IF(X449&lt;&gt;"",V449,H449))</f>
        <v/>
      </c>
    </row>
    <row r="450" ht="30" customHeight="1">
      <c r="A450" s="50" t="n"/>
      <c r="B450" s="51" t="n"/>
      <c r="C450" s="51" t="n"/>
      <c r="D450" s="51" t="n"/>
      <c r="E450" s="51" t="n"/>
      <c r="F450" s="52" t="n"/>
      <c r="G450" s="51" t="n"/>
      <c r="H450" s="52" t="n"/>
      <c r="I450" s="51" t="n"/>
      <c r="J450" s="51" t="n"/>
      <c r="K450" s="52" t="n"/>
      <c r="L450" s="53" t="str">
        <f>IF(AND(IF(ISNUMBER(F450),AND(F450&gt;=1,F450&lt;=10,F450=INT(F450)),FALSE),IF(ISNUMBER(H450),AND(H450&gt;=1,H450&lt;=10,H450=INT(H450)),FALSE),IF(ISNUMBER(K450),AND(K450&gt;=1,K450&lt;=10,K450=INT(K450)),FALSE)),F450*H450*K450,"")</f>
        <v/>
      </c>
      <c r="M450" s="54" t="str">
        <f>IF(L450="",IF(D450="","","À coter"),IF(OR(F450&gt;=p_gmin,L450&gt;=p_ipr_crit),"Critique",IF(L450&gt;=p_ipr_act,"Élevée",IF(L450&gt;=p_ipr_watch,"Moyenne","Faible"))))</f>
        <v/>
      </c>
      <c r="N450" s="54" t="str">
        <f>IF(OR(M450="",M450="À coter"),"",IF(OR(M450="Critique",M450="Élevée"),"Oui","Non"))</f>
        <v/>
      </c>
      <c r="O450" s="51" t="n"/>
      <c r="P450" s="51" t="n"/>
      <c r="Q450" s="55" t="n"/>
      <c r="R450" s="50" t="n"/>
      <c r="S450" s="55" t="n"/>
      <c r="T450" s="56" t="n"/>
      <c r="U450" s="52" t="n"/>
      <c r="V450" s="52" t="n"/>
      <c r="W450" s="52" t="n"/>
      <c r="X450" s="53" t="str">
        <f>IF(AND(L450&lt;&gt;"",IF(ISNUMBER(U450),AND(U450&gt;=1,U450&lt;=10,U450=INT(U450)),FALSE),IF(ISNUMBER(V450),AND(V450&gt;=1,V450&lt;=10,V450=INT(V450)),FALSE),IF(ISNUMBER(W450),AND(W450&gt;=1,W450&lt;=10,W450=INT(W450)),FALSE)),U450*V450*W450,"")</f>
        <v/>
      </c>
      <c r="Y450" s="54" t="str">
        <f>IF(X450="","",IF(OR(U450&gt;=p_gmin,X450&gt;=p_ipr_crit),"Critique",IF(X450&gt;=p_ipr_act,"Élevée",IF(X450&gt;=p_ipr_watch,"Moyenne","Faible"))))</f>
        <v/>
      </c>
      <c r="Z450" s="57" t="str">
        <f>IF(X450="","",(L450-X450)/L450)</f>
        <v/>
      </c>
      <c r="AA450" s="54" t="str">
        <f>IF(AND(D450="",O450=""),"",IF(O450="",IF(N450="Oui","Action à définir",IF(N450="Non","Sans action","")),IF(R450="Annulée","Annulée",IF(R450="Réalisée",IF(X450="","À réévaluer","Réalisée"),IF(N(Q450)=0,"Échéance manquante",IF(Q450&lt;p_today,"En retard",IF(Q450-p_today&lt;=p_alert,"Échéance proche","Dans les délais")))))))</f>
        <v/>
      </c>
      <c r="AB450" s="58" t="str">
        <f>IF(AND(A450="",B450="",D450="",F450="",H450="",K450="",O450=""),"",IF(D450="","Mode de défaillance manquant",IF(AND(A450&lt;&gt;"",COUNTIF(am_num,A450)&gt;1),"N° en double",IF(F450="","Gravité G manquante",IF(NOT(IF(ISNUMBER(F450),AND(F450&gt;=1,F450&lt;=10,F450=INT(F450)),FALSE)),"G : entier de 1 à 10",IF(H450="","Occurrence O manquante",IF(NOT(IF(ISNUMBER(H450),AND(H450&gt;=1,H450&lt;=10,H450=INT(H450)),FALSE)),"O : entier de 1 à 10",IF(K450="","Détection D manquante",IF(NOT(IF(ISNUMBER(K450),AND(K450&gt;=1,K450&lt;=10,K450=INT(K450)),FALSE)),"D : entier de 1 à 10",IF(G450="","Cause manquante",IF(AND(O450&lt;&gt;"",P450=""),"Responsable manquant",IF(AND(R450&lt;&gt;"",O450=""),"Statut sans action",IF(AND(R450="Réalisée",N(S450)=0),"Date de réalisation manquante",IF(AND(T450&lt;&gt;"",IF(ISNUMBER(T450),T450&lt;0,TRUE)),"Coût invalide",IF(AND(COUNTBLANK(U450:W450)&gt;0,COUNTBLANK(U450:W450)&lt;3),"Cotation après action incomplète",IF(AND(COUNTBLANK(U450:W450)=0,X450=""),"G', O', D' : entiers de 1 à 10",IF(AND(X450&lt;&gt;"",X450&gt;L450),"IPR après action plus élevé","OK")))))))))))))))))</f>
        <v/>
      </c>
      <c r="AC450" s="59" t="str">
        <f>IF(OR(AA450="En retard",AA450="Échéance proche",AA450="Dans les délais",AA450="Échéance manquante",AA450="Action à définir",AA450="À réévaluer"),IF(OR(plan_who="",P450=plan_who),IF(N(Q450)&gt;0,Q450,99999)*1000+ROW(),""),"")</f>
        <v/>
      </c>
      <c r="AD450" s="59" t="str">
        <f>IF(L450="","",L450*1000+1000-ROW())</f>
        <v/>
      </c>
      <c r="AE450" s="59" t="str">
        <f>IF(IF(AA450="En retard",1,IF(AA450="Action à définir",2,IF(AA450="Échéance manquante",3,IF(AA450="Échéance proche",4,IF(AA450="À réévaluer",5,0)))))=0,"",IF(AA450="En retard",1,IF(AA450="Action à définir",2,IF(AA450="Échéance manquante",3,IF(AA450="Échéance proche",4,IF(AA450="À réévaluer",5,0)))))*100000000+IF(N(Q450)&gt;0,Q450,99999)*1000+ROW())</f>
        <v/>
      </c>
      <c r="AF450" s="59" t="str">
        <f>IF(X450&lt;&gt;"",X450,L450)</f>
        <v/>
      </c>
      <c r="AG450" s="59" t="str">
        <f>IF(X450&lt;&gt;"",Y450,IF(L450&lt;&gt;"",M450,""))</f>
        <v/>
      </c>
      <c r="AH450" s="59" t="str">
        <f>IF(L450="","",IF(X450&lt;&gt;"",U450,F450))</f>
        <v/>
      </c>
      <c r="AI450" s="59" t="str">
        <f>IF(L450="","",IF(X450&lt;&gt;"",V450,H450))</f>
        <v/>
      </c>
    </row>
    <row r="451" ht="30" customHeight="1">
      <c r="A451" s="50" t="n"/>
      <c r="B451" s="51" t="n"/>
      <c r="C451" s="51" t="n"/>
      <c r="D451" s="51" t="n"/>
      <c r="E451" s="51" t="n"/>
      <c r="F451" s="52" t="n"/>
      <c r="G451" s="51" t="n"/>
      <c r="H451" s="52" t="n"/>
      <c r="I451" s="51" t="n"/>
      <c r="J451" s="51" t="n"/>
      <c r="K451" s="52" t="n"/>
      <c r="L451" s="53" t="str">
        <f>IF(AND(IF(ISNUMBER(F451),AND(F451&gt;=1,F451&lt;=10,F451=INT(F451)),FALSE),IF(ISNUMBER(H451),AND(H451&gt;=1,H451&lt;=10,H451=INT(H451)),FALSE),IF(ISNUMBER(K451),AND(K451&gt;=1,K451&lt;=10,K451=INT(K451)),FALSE)),F451*H451*K451,"")</f>
        <v/>
      </c>
      <c r="M451" s="54" t="str">
        <f>IF(L451="",IF(D451="","","À coter"),IF(OR(F451&gt;=p_gmin,L451&gt;=p_ipr_crit),"Critique",IF(L451&gt;=p_ipr_act,"Élevée",IF(L451&gt;=p_ipr_watch,"Moyenne","Faible"))))</f>
        <v/>
      </c>
      <c r="N451" s="54" t="str">
        <f>IF(OR(M451="",M451="À coter"),"",IF(OR(M451="Critique",M451="Élevée"),"Oui","Non"))</f>
        <v/>
      </c>
      <c r="O451" s="51" t="n"/>
      <c r="P451" s="51" t="n"/>
      <c r="Q451" s="55" t="n"/>
      <c r="R451" s="50" t="n"/>
      <c r="S451" s="55" t="n"/>
      <c r="T451" s="56" t="n"/>
      <c r="U451" s="52" t="n"/>
      <c r="V451" s="52" t="n"/>
      <c r="W451" s="52" t="n"/>
      <c r="X451" s="53" t="str">
        <f>IF(AND(L451&lt;&gt;"",IF(ISNUMBER(U451),AND(U451&gt;=1,U451&lt;=10,U451=INT(U451)),FALSE),IF(ISNUMBER(V451),AND(V451&gt;=1,V451&lt;=10,V451=INT(V451)),FALSE),IF(ISNUMBER(W451),AND(W451&gt;=1,W451&lt;=10,W451=INT(W451)),FALSE)),U451*V451*W451,"")</f>
        <v/>
      </c>
      <c r="Y451" s="54" t="str">
        <f>IF(X451="","",IF(OR(U451&gt;=p_gmin,X451&gt;=p_ipr_crit),"Critique",IF(X451&gt;=p_ipr_act,"Élevée",IF(X451&gt;=p_ipr_watch,"Moyenne","Faible"))))</f>
        <v/>
      </c>
      <c r="Z451" s="57" t="str">
        <f>IF(X451="","",(L451-X451)/L451)</f>
        <v/>
      </c>
      <c r="AA451" s="54" t="str">
        <f>IF(AND(D451="",O451=""),"",IF(O451="",IF(N451="Oui","Action à définir",IF(N451="Non","Sans action","")),IF(R451="Annulée","Annulée",IF(R451="Réalisée",IF(X451="","À réévaluer","Réalisée"),IF(N(Q451)=0,"Échéance manquante",IF(Q451&lt;p_today,"En retard",IF(Q451-p_today&lt;=p_alert,"Échéance proche","Dans les délais")))))))</f>
        <v/>
      </c>
      <c r="AB451" s="58" t="str">
        <f>IF(AND(A451="",B451="",D451="",F451="",H451="",K451="",O451=""),"",IF(D451="","Mode de défaillance manquant",IF(AND(A451&lt;&gt;"",COUNTIF(am_num,A451)&gt;1),"N° en double",IF(F451="","Gravité G manquante",IF(NOT(IF(ISNUMBER(F451),AND(F451&gt;=1,F451&lt;=10,F451=INT(F451)),FALSE)),"G : entier de 1 à 10",IF(H451="","Occurrence O manquante",IF(NOT(IF(ISNUMBER(H451),AND(H451&gt;=1,H451&lt;=10,H451=INT(H451)),FALSE)),"O : entier de 1 à 10",IF(K451="","Détection D manquante",IF(NOT(IF(ISNUMBER(K451),AND(K451&gt;=1,K451&lt;=10,K451=INT(K451)),FALSE)),"D : entier de 1 à 10",IF(G451="","Cause manquante",IF(AND(O451&lt;&gt;"",P451=""),"Responsable manquant",IF(AND(R451&lt;&gt;"",O451=""),"Statut sans action",IF(AND(R451="Réalisée",N(S451)=0),"Date de réalisation manquante",IF(AND(T451&lt;&gt;"",IF(ISNUMBER(T451),T451&lt;0,TRUE)),"Coût invalide",IF(AND(COUNTBLANK(U451:W451)&gt;0,COUNTBLANK(U451:W451)&lt;3),"Cotation après action incomplète",IF(AND(COUNTBLANK(U451:W451)=0,X451=""),"G', O', D' : entiers de 1 à 10",IF(AND(X451&lt;&gt;"",X451&gt;L451),"IPR après action plus élevé","OK")))))))))))))))))</f>
        <v/>
      </c>
      <c r="AC451" s="59" t="str">
        <f>IF(OR(AA451="En retard",AA451="Échéance proche",AA451="Dans les délais",AA451="Échéance manquante",AA451="Action à définir",AA451="À réévaluer"),IF(OR(plan_who="",P451=plan_who),IF(N(Q451)&gt;0,Q451,99999)*1000+ROW(),""),"")</f>
        <v/>
      </c>
      <c r="AD451" s="59" t="str">
        <f>IF(L451="","",L451*1000+1000-ROW())</f>
        <v/>
      </c>
      <c r="AE451" s="59" t="str">
        <f>IF(IF(AA451="En retard",1,IF(AA451="Action à définir",2,IF(AA451="Échéance manquante",3,IF(AA451="Échéance proche",4,IF(AA451="À réévaluer",5,0)))))=0,"",IF(AA451="En retard",1,IF(AA451="Action à définir",2,IF(AA451="Échéance manquante",3,IF(AA451="Échéance proche",4,IF(AA451="À réévaluer",5,0)))))*100000000+IF(N(Q451)&gt;0,Q451,99999)*1000+ROW())</f>
        <v/>
      </c>
      <c r="AF451" s="59" t="str">
        <f>IF(X451&lt;&gt;"",X451,L451)</f>
        <v/>
      </c>
      <c r="AG451" s="59" t="str">
        <f>IF(X451&lt;&gt;"",Y451,IF(L451&lt;&gt;"",M451,""))</f>
        <v/>
      </c>
      <c r="AH451" s="59" t="str">
        <f>IF(L451="","",IF(X451&lt;&gt;"",U451,F451))</f>
        <v/>
      </c>
      <c r="AI451" s="59" t="str">
        <f>IF(L451="","",IF(X451&lt;&gt;"",V451,H451))</f>
        <v/>
      </c>
    </row>
    <row r="452" ht="30" customHeight="1">
      <c r="A452" s="50" t="n"/>
      <c r="B452" s="51" t="n"/>
      <c r="C452" s="51" t="n"/>
      <c r="D452" s="51" t="n"/>
      <c r="E452" s="51" t="n"/>
      <c r="F452" s="52" t="n"/>
      <c r="G452" s="51" t="n"/>
      <c r="H452" s="52" t="n"/>
      <c r="I452" s="51" t="n"/>
      <c r="J452" s="51" t="n"/>
      <c r="K452" s="52" t="n"/>
      <c r="L452" s="53" t="str">
        <f>IF(AND(IF(ISNUMBER(F452),AND(F452&gt;=1,F452&lt;=10,F452=INT(F452)),FALSE),IF(ISNUMBER(H452),AND(H452&gt;=1,H452&lt;=10,H452=INT(H452)),FALSE),IF(ISNUMBER(K452),AND(K452&gt;=1,K452&lt;=10,K452=INT(K452)),FALSE)),F452*H452*K452,"")</f>
        <v/>
      </c>
      <c r="M452" s="54" t="str">
        <f>IF(L452="",IF(D452="","","À coter"),IF(OR(F452&gt;=p_gmin,L452&gt;=p_ipr_crit),"Critique",IF(L452&gt;=p_ipr_act,"Élevée",IF(L452&gt;=p_ipr_watch,"Moyenne","Faible"))))</f>
        <v/>
      </c>
      <c r="N452" s="54" t="str">
        <f>IF(OR(M452="",M452="À coter"),"",IF(OR(M452="Critique",M452="Élevée"),"Oui","Non"))</f>
        <v/>
      </c>
      <c r="O452" s="51" t="n"/>
      <c r="P452" s="51" t="n"/>
      <c r="Q452" s="55" t="n"/>
      <c r="R452" s="50" t="n"/>
      <c r="S452" s="55" t="n"/>
      <c r="T452" s="56" t="n"/>
      <c r="U452" s="52" t="n"/>
      <c r="V452" s="52" t="n"/>
      <c r="W452" s="52" t="n"/>
      <c r="X452" s="53" t="str">
        <f>IF(AND(L452&lt;&gt;"",IF(ISNUMBER(U452),AND(U452&gt;=1,U452&lt;=10,U452=INT(U452)),FALSE),IF(ISNUMBER(V452),AND(V452&gt;=1,V452&lt;=10,V452=INT(V452)),FALSE),IF(ISNUMBER(W452),AND(W452&gt;=1,W452&lt;=10,W452=INT(W452)),FALSE)),U452*V452*W452,"")</f>
        <v/>
      </c>
      <c r="Y452" s="54" t="str">
        <f>IF(X452="","",IF(OR(U452&gt;=p_gmin,X452&gt;=p_ipr_crit),"Critique",IF(X452&gt;=p_ipr_act,"Élevée",IF(X452&gt;=p_ipr_watch,"Moyenne","Faible"))))</f>
        <v/>
      </c>
      <c r="Z452" s="57" t="str">
        <f>IF(X452="","",(L452-X452)/L452)</f>
        <v/>
      </c>
      <c r="AA452" s="54" t="str">
        <f>IF(AND(D452="",O452=""),"",IF(O452="",IF(N452="Oui","Action à définir",IF(N452="Non","Sans action","")),IF(R452="Annulée","Annulée",IF(R452="Réalisée",IF(X452="","À réévaluer","Réalisée"),IF(N(Q452)=0,"Échéance manquante",IF(Q452&lt;p_today,"En retard",IF(Q452-p_today&lt;=p_alert,"Échéance proche","Dans les délais")))))))</f>
        <v/>
      </c>
      <c r="AB452" s="58" t="str">
        <f>IF(AND(A452="",B452="",D452="",F452="",H452="",K452="",O452=""),"",IF(D452="","Mode de défaillance manquant",IF(AND(A452&lt;&gt;"",COUNTIF(am_num,A452)&gt;1),"N° en double",IF(F452="","Gravité G manquante",IF(NOT(IF(ISNUMBER(F452),AND(F452&gt;=1,F452&lt;=10,F452=INT(F452)),FALSE)),"G : entier de 1 à 10",IF(H452="","Occurrence O manquante",IF(NOT(IF(ISNUMBER(H452),AND(H452&gt;=1,H452&lt;=10,H452=INT(H452)),FALSE)),"O : entier de 1 à 10",IF(K452="","Détection D manquante",IF(NOT(IF(ISNUMBER(K452),AND(K452&gt;=1,K452&lt;=10,K452=INT(K452)),FALSE)),"D : entier de 1 à 10",IF(G452="","Cause manquante",IF(AND(O452&lt;&gt;"",P452=""),"Responsable manquant",IF(AND(R452&lt;&gt;"",O452=""),"Statut sans action",IF(AND(R452="Réalisée",N(S452)=0),"Date de réalisation manquante",IF(AND(T452&lt;&gt;"",IF(ISNUMBER(T452),T452&lt;0,TRUE)),"Coût invalide",IF(AND(COUNTBLANK(U452:W452)&gt;0,COUNTBLANK(U452:W452)&lt;3),"Cotation après action incomplète",IF(AND(COUNTBLANK(U452:W452)=0,X452=""),"G', O', D' : entiers de 1 à 10",IF(AND(X452&lt;&gt;"",X452&gt;L452),"IPR après action plus élevé","OK")))))))))))))))))</f>
        <v/>
      </c>
      <c r="AC452" s="59" t="str">
        <f>IF(OR(AA452="En retard",AA452="Échéance proche",AA452="Dans les délais",AA452="Échéance manquante",AA452="Action à définir",AA452="À réévaluer"),IF(OR(plan_who="",P452=plan_who),IF(N(Q452)&gt;0,Q452,99999)*1000+ROW(),""),"")</f>
        <v/>
      </c>
      <c r="AD452" s="59" t="str">
        <f>IF(L452="","",L452*1000+1000-ROW())</f>
        <v/>
      </c>
      <c r="AE452" s="59" t="str">
        <f>IF(IF(AA452="En retard",1,IF(AA452="Action à définir",2,IF(AA452="Échéance manquante",3,IF(AA452="Échéance proche",4,IF(AA452="À réévaluer",5,0)))))=0,"",IF(AA452="En retard",1,IF(AA452="Action à définir",2,IF(AA452="Échéance manquante",3,IF(AA452="Échéance proche",4,IF(AA452="À réévaluer",5,0)))))*100000000+IF(N(Q452)&gt;0,Q452,99999)*1000+ROW())</f>
        <v/>
      </c>
      <c r="AF452" s="59" t="str">
        <f>IF(X452&lt;&gt;"",X452,L452)</f>
        <v/>
      </c>
      <c r="AG452" s="59" t="str">
        <f>IF(X452&lt;&gt;"",Y452,IF(L452&lt;&gt;"",M452,""))</f>
        <v/>
      </c>
      <c r="AH452" s="59" t="str">
        <f>IF(L452="","",IF(X452&lt;&gt;"",U452,F452))</f>
        <v/>
      </c>
      <c r="AI452" s="59" t="str">
        <f>IF(L452="","",IF(X452&lt;&gt;"",V452,H452))</f>
        <v/>
      </c>
    </row>
    <row r="453" ht="30" customHeight="1">
      <c r="A453" s="50" t="n"/>
      <c r="B453" s="51" t="n"/>
      <c r="C453" s="51" t="n"/>
      <c r="D453" s="51" t="n"/>
      <c r="E453" s="51" t="n"/>
      <c r="F453" s="52" t="n"/>
      <c r="G453" s="51" t="n"/>
      <c r="H453" s="52" t="n"/>
      <c r="I453" s="51" t="n"/>
      <c r="J453" s="51" t="n"/>
      <c r="K453" s="52" t="n"/>
      <c r="L453" s="53" t="str">
        <f>IF(AND(IF(ISNUMBER(F453),AND(F453&gt;=1,F453&lt;=10,F453=INT(F453)),FALSE),IF(ISNUMBER(H453),AND(H453&gt;=1,H453&lt;=10,H453=INT(H453)),FALSE),IF(ISNUMBER(K453),AND(K453&gt;=1,K453&lt;=10,K453=INT(K453)),FALSE)),F453*H453*K453,"")</f>
        <v/>
      </c>
      <c r="M453" s="54" t="str">
        <f>IF(L453="",IF(D453="","","À coter"),IF(OR(F453&gt;=p_gmin,L453&gt;=p_ipr_crit),"Critique",IF(L453&gt;=p_ipr_act,"Élevée",IF(L453&gt;=p_ipr_watch,"Moyenne","Faible"))))</f>
        <v/>
      </c>
      <c r="N453" s="54" t="str">
        <f>IF(OR(M453="",M453="À coter"),"",IF(OR(M453="Critique",M453="Élevée"),"Oui","Non"))</f>
        <v/>
      </c>
      <c r="O453" s="51" t="n"/>
      <c r="P453" s="51" t="n"/>
      <c r="Q453" s="55" t="n"/>
      <c r="R453" s="50" t="n"/>
      <c r="S453" s="55" t="n"/>
      <c r="T453" s="56" t="n"/>
      <c r="U453" s="52" t="n"/>
      <c r="V453" s="52" t="n"/>
      <c r="W453" s="52" t="n"/>
      <c r="X453" s="53" t="str">
        <f>IF(AND(L453&lt;&gt;"",IF(ISNUMBER(U453),AND(U453&gt;=1,U453&lt;=10,U453=INT(U453)),FALSE),IF(ISNUMBER(V453),AND(V453&gt;=1,V453&lt;=10,V453=INT(V453)),FALSE),IF(ISNUMBER(W453),AND(W453&gt;=1,W453&lt;=10,W453=INT(W453)),FALSE)),U453*V453*W453,"")</f>
        <v/>
      </c>
      <c r="Y453" s="54" t="str">
        <f>IF(X453="","",IF(OR(U453&gt;=p_gmin,X453&gt;=p_ipr_crit),"Critique",IF(X453&gt;=p_ipr_act,"Élevée",IF(X453&gt;=p_ipr_watch,"Moyenne","Faible"))))</f>
        <v/>
      </c>
      <c r="Z453" s="57" t="str">
        <f>IF(X453="","",(L453-X453)/L453)</f>
        <v/>
      </c>
      <c r="AA453" s="54" t="str">
        <f>IF(AND(D453="",O453=""),"",IF(O453="",IF(N453="Oui","Action à définir",IF(N453="Non","Sans action","")),IF(R453="Annulée","Annulée",IF(R453="Réalisée",IF(X453="","À réévaluer","Réalisée"),IF(N(Q453)=0,"Échéance manquante",IF(Q453&lt;p_today,"En retard",IF(Q453-p_today&lt;=p_alert,"Échéance proche","Dans les délais")))))))</f>
        <v/>
      </c>
      <c r="AB453" s="58" t="str">
        <f>IF(AND(A453="",B453="",D453="",F453="",H453="",K453="",O453=""),"",IF(D453="","Mode de défaillance manquant",IF(AND(A453&lt;&gt;"",COUNTIF(am_num,A453)&gt;1),"N° en double",IF(F453="","Gravité G manquante",IF(NOT(IF(ISNUMBER(F453),AND(F453&gt;=1,F453&lt;=10,F453=INT(F453)),FALSE)),"G : entier de 1 à 10",IF(H453="","Occurrence O manquante",IF(NOT(IF(ISNUMBER(H453),AND(H453&gt;=1,H453&lt;=10,H453=INT(H453)),FALSE)),"O : entier de 1 à 10",IF(K453="","Détection D manquante",IF(NOT(IF(ISNUMBER(K453),AND(K453&gt;=1,K453&lt;=10,K453=INT(K453)),FALSE)),"D : entier de 1 à 10",IF(G453="","Cause manquante",IF(AND(O453&lt;&gt;"",P453=""),"Responsable manquant",IF(AND(R453&lt;&gt;"",O453=""),"Statut sans action",IF(AND(R453="Réalisée",N(S453)=0),"Date de réalisation manquante",IF(AND(T453&lt;&gt;"",IF(ISNUMBER(T453),T453&lt;0,TRUE)),"Coût invalide",IF(AND(COUNTBLANK(U453:W453)&gt;0,COUNTBLANK(U453:W453)&lt;3),"Cotation après action incomplète",IF(AND(COUNTBLANK(U453:W453)=0,X453=""),"G', O', D' : entiers de 1 à 10",IF(AND(X453&lt;&gt;"",X453&gt;L453),"IPR après action plus élevé","OK")))))))))))))))))</f>
        <v/>
      </c>
      <c r="AC453" s="59" t="str">
        <f>IF(OR(AA453="En retard",AA453="Échéance proche",AA453="Dans les délais",AA453="Échéance manquante",AA453="Action à définir",AA453="À réévaluer"),IF(OR(plan_who="",P453=plan_who),IF(N(Q453)&gt;0,Q453,99999)*1000+ROW(),""),"")</f>
        <v/>
      </c>
      <c r="AD453" s="59" t="str">
        <f>IF(L453="","",L453*1000+1000-ROW())</f>
        <v/>
      </c>
      <c r="AE453" s="59" t="str">
        <f>IF(IF(AA453="En retard",1,IF(AA453="Action à définir",2,IF(AA453="Échéance manquante",3,IF(AA453="Échéance proche",4,IF(AA453="À réévaluer",5,0)))))=0,"",IF(AA453="En retard",1,IF(AA453="Action à définir",2,IF(AA453="Échéance manquante",3,IF(AA453="Échéance proche",4,IF(AA453="À réévaluer",5,0)))))*100000000+IF(N(Q453)&gt;0,Q453,99999)*1000+ROW())</f>
        <v/>
      </c>
      <c r="AF453" s="59" t="str">
        <f>IF(X453&lt;&gt;"",X453,L453)</f>
        <v/>
      </c>
      <c r="AG453" s="59" t="str">
        <f>IF(X453&lt;&gt;"",Y453,IF(L453&lt;&gt;"",M453,""))</f>
        <v/>
      </c>
      <c r="AH453" s="59" t="str">
        <f>IF(L453="","",IF(X453&lt;&gt;"",U453,F453))</f>
        <v/>
      </c>
      <c r="AI453" s="59" t="str">
        <f>IF(L453="","",IF(X453&lt;&gt;"",V453,H453))</f>
        <v/>
      </c>
    </row>
    <row r="454" ht="30" customHeight="1">
      <c r="A454" s="50" t="n"/>
      <c r="B454" s="51" t="n"/>
      <c r="C454" s="51" t="n"/>
      <c r="D454" s="51" t="n"/>
      <c r="E454" s="51" t="n"/>
      <c r="F454" s="52" t="n"/>
      <c r="G454" s="51" t="n"/>
      <c r="H454" s="52" t="n"/>
      <c r="I454" s="51" t="n"/>
      <c r="J454" s="51" t="n"/>
      <c r="K454" s="52" t="n"/>
      <c r="L454" s="53" t="str">
        <f>IF(AND(IF(ISNUMBER(F454),AND(F454&gt;=1,F454&lt;=10,F454=INT(F454)),FALSE),IF(ISNUMBER(H454),AND(H454&gt;=1,H454&lt;=10,H454=INT(H454)),FALSE),IF(ISNUMBER(K454),AND(K454&gt;=1,K454&lt;=10,K454=INT(K454)),FALSE)),F454*H454*K454,"")</f>
        <v/>
      </c>
      <c r="M454" s="54" t="str">
        <f>IF(L454="",IF(D454="","","À coter"),IF(OR(F454&gt;=p_gmin,L454&gt;=p_ipr_crit),"Critique",IF(L454&gt;=p_ipr_act,"Élevée",IF(L454&gt;=p_ipr_watch,"Moyenne","Faible"))))</f>
        <v/>
      </c>
      <c r="N454" s="54" t="str">
        <f>IF(OR(M454="",M454="À coter"),"",IF(OR(M454="Critique",M454="Élevée"),"Oui","Non"))</f>
        <v/>
      </c>
      <c r="O454" s="51" t="n"/>
      <c r="P454" s="51" t="n"/>
      <c r="Q454" s="55" t="n"/>
      <c r="R454" s="50" t="n"/>
      <c r="S454" s="55" t="n"/>
      <c r="T454" s="56" t="n"/>
      <c r="U454" s="52" t="n"/>
      <c r="V454" s="52" t="n"/>
      <c r="W454" s="52" t="n"/>
      <c r="X454" s="53" t="str">
        <f>IF(AND(L454&lt;&gt;"",IF(ISNUMBER(U454),AND(U454&gt;=1,U454&lt;=10,U454=INT(U454)),FALSE),IF(ISNUMBER(V454),AND(V454&gt;=1,V454&lt;=10,V454=INT(V454)),FALSE),IF(ISNUMBER(W454),AND(W454&gt;=1,W454&lt;=10,W454=INT(W454)),FALSE)),U454*V454*W454,"")</f>
        <v/>
      </c>
      <c r="Y454" s="54" t="str">
        <f>IF(X454="","",IF(OR(U454&gt;=p_gmin,X454&gt;=p_ipr_crit),"Critique",IF(X454&gt;=p_ipr_act,"Élevée",IF(X454&gt;=p_ipr_watch,"Moyenne","Faible"))))</f>
        <v/>
      </c>
      <c r="Z454" s="57" t="str">
        <f>IF(X454="","",(L454-X454)/L454)</f>
        <v/>
      </c>
      <c r="AA454" s="54" t="str">
        <f>IF(AND(D454="",O454=""),"",IF(O454="",IF(N454="Oui","Action à définir",IF(N454="Non","Sans action","")),IF(R454="Annulée","Annulée",IF(R454="Réalisée",IF(X454="","À réévaluer","Réalisée"),IF(N(Q454)=0,"Échéance manquante",IF(Q454&lt;p_today,"En retard",IF(Q454-p_today&lt;=p_alert,"Échéance proche","Dans les délais")))))))</f>
        <v/>
      </c>
      <c r="AB454" s="58" t="str">
        <f>IF(AND(A454="",B454="",D454="",F454="",H454="",K454="",O454=""),"",IF(D454="","Mode de défaillance manquant",IF(AND(A454&lt;&gt;"",COUNTIF(am_num,A454)&gt;1),"N° en double",IF(F454="","Gravité G manquante",IF(NOT(IF(ISNUMBER(F454),AND(F454&gt;=1,F454&lt;=10,F454=INT(F454)),FALSE)),"G : entier de 1 à 10",IF(H454="","Occurrence O manquante",IF(NOT(IF(ISNUMBER(H454),AND(H454&gt;=1,H454&lt;=10,H454=INT(H454)),FALSE)),"O : entier de 1 à 10",IF(K454="","Détection D manquante",IF(NOT(IF(ISNUMBER(K454),AND(K454&gt;=1,K454&lt;=10,K454=INT(K454)),FALSE)),"D : entier de 1 à 10",IF(G454="","Cause manquante",IF(AND(O454&lt;&gt;"",P454=""),"Responsable manquant",IF(AND(R454&lt;&gt;"",O454=""),"Statut sans action",IF(AND(R454="Réalisée",N(S454)=0),"Date de réalisation manquante",IF(AND(T454&lt;&gt;"",IF(ISNUMBER(T454),T454&lt;0,TRUE)),"Coût invalide",IF(AND(COUNTBLANK(U454:W454)&gt;0,COUNTBLANK(U454:W454)&lt;3),"Cotation après action incomplète",IF(AND(COUNTBLANK(U454:W454)=0,X454=""),"G', O', D' : entiers de 1 à 10",IF(AND(X454&lt;&gt;"",X454&gt;L454),"IPR après action plus élevé","OK")))))))))))))))))</f>
        <v/>
      </c>
      <c r="AC454" s="59" t="str">
        <f>IF(OR(AA454="En retard",AA454="Échéance proche",AA454="Dans les délais",AA454="Échéance manquante",AA454="Action à définir",AA454="À réévaluer"),IF(OR(plan_who="",P454=plan_who),IF(N(Q454)&gt;0,Q454,99999)*1000+ROW(),""),"")</f>
        <v/>
      </c>
      <c r="AD454" s="59" t="str">
        <f>IF(L454="","",L454*1000+1000-ROW())</f>
        <v/>
      </c>
      <c r="AE454" s="59" t="str">
        <f>IF(IF(AA454="En retard",1,IF(AA454="Action à définir",2,IF(AA454="Échéance manquante",3,IF(AA454="Échéance proche",4,IF(AA454="À réévaluer",5,0)))))=0,"",IF(AA454="En retard",1,IF(AA454="Action à définir",2,IF(AA454="Échéance manquante",3,IF(AA454="Échéance proche",4,IF(AA454="À réévaluer",5,0)))))*100000000+IF(N(Q454)&gt;0,Q454,99999)*1000+ROW())</f>
        <v/>
      </c>
      <c r="AF454" s="59" t="str">
        <f>IF(X454&lt;&gt;"",X454,L454)</f>
        <v/>
      </c>
      <c r="AG454" s="59" t="str">
        <f>IF(X454&lt;&gt;"",Y454,IF(L454&lt;&gt;"",M454,""))</f>
        <v/>
      </c>
      <c r="AH454" s="59" t="str">
        <f>IF(L454="","",IF(X454&lt;&gt;"",U454,F454))</f>
        <v/>
      </c>
      <c r="AI454" s="59" t="str">
        <f>IF(L454="","",IF(X454&lt;&gt;"",V454,H454))</f>
        <v/>
      </c>
    </row>
    <row r="455" ht="30" customHeight="1">
      <c r="A455" s="50" t="n"/>
      <c r="B455" s="51" t="n"/>
      <c r="C455" s="51" t="n"/>
      <c r="D455" s="51" t="n"/>
      <c r="E455" s="51" t="n"/>
      <c r="F455" s="52" t="n"/>
      <c r="G455" s="51" t="n"/>
      <c r="H455" s="52" t="n"/>
      <c r="I455" s="51" t="n"/>
      <c r="J455" s="51" t="n"/>
      <c r="K455" s="52" t="n"/>
      <c r="L455" s="53" t="str">
        <f>IF(AND(IF(ISNUMBER(F455),AND(F455&gt;=1,F455&lt;=10,F455=INT(F455)),FALSE),IF(ISNUMBER(H455),AND(H455&gt;=1,H455&lt;=10,H455=INT(H455)),FALSE),IF(ISNUMBER(K455),AND(K455&gt;=1,K455&lt;=10,K455=INT(K455)),FALSE)),F455*H455*K455,"")</f>
        <v/>
      </c>
      <c r="M455" s="54" t="str">
        <f>IF(L455="",IF(D455="","","À coter"),IF(OR(F455&gt;=p_gmin,L455&gt;=p_ipr_crit),"Critique",IF(L455&gt;=p_ipr_act,"Élevée",IF(L455&gt;=p_ipr_watch,"Moyenne","Faible"))))</f>
        <v/>
      </c>
      <c r="N455" s="54" t="str">
        <f>IF(OR(M455="",M455="À coter"),"",IF(OR(M455="Critique",M455="Élevée"),"Oui","Non"))</f>
        <v/>
      </c>
      <c r="O455" s="51" t="n"/>
      <c r="P455" s="51" t="n"/>
      <c r="Q455" s="55" t="n"/>
      <c r="R455" s="50" t="n"/>
      <c r="S455" s="55" t="n"/>
      <c r="T455" s="56" t="n"/>
      <c r="U455" s="52" t="n"/>
      <c r="V455" s="52" t="n"/>
      <c r="W455" s="52" t="n"/>
      <c r="X455" s="53" t="str">
        <f>IF(AND(L455&lt;&gt;"",IF(ISNUMBER(U455),AND(U455&gt;=1,U455&lt;=10,U455=INT(U455)),FALSE),IF(ISNUMBER(V455),AND(V455&gt;=1,V455&lt;=10,V455=INT(V455)),FALSE),IF(ISNUMBER(W455),AND(W455&gt;=1,W455&lt;=10,W455=INT(W455)),FALSE)),U455*V455*W455,"")</f>
        <v/>
      </c>
      <c r="Y455" s="54" t="str">
        <f>IF(X455="","",IF(OR(U455&gt;=p_gmin,X455&gt;=p_ipr_crit),"Critique",IF(X455&gt;=p_ipr_act,"Élevée",IF(X455&gt;=p_ipr_watch,"Moyenne","Faible"))))</f>
        <v/>
      </c>
      <c r="Z455" s="57" t="str">
        <f>IF(X455="","",(L455-X455)/L455)</f>
        <v/>
      </c>
      <c r="AA455" s="54" t="str">
        <f>IF(AND(D455="",O455=""),"",IF(O455="",IF(N455="Oui","Action à définir",IF(N455="Non","Sans action","")),IF(R455="Annulée","Annulée",IF(R455="Réalisée",IF(X455="","À réévaluer","Réalisée"),IF(N(Q455)=0,"Échéance manquante",IF(Q455&lt;p_today,"En retard",IF(Q455-p_today&lt;=p_alert,"Échéance proche","Dans les délais")))))))</f>
        <v/>
      </c>
      <c r="AB455" s="58" t="str">
        <f>IF(AND(A455="",B455="",D455="",F455="",H455="",K455="",O455=""),"",IF(D455="","Mode de défaillance manquant",IF(AND(A455&lt;&gt;"",COUNTIF(am_num,A455)&gt;1),"N° en double",IF(F455="","Gravité G manquante",IF(NOT(IF(ISNUMBER(F455),AND(F455&gt;=1,F455&lt;=10,F455=INT(F455)),FALSE)),"G : entier de 1 à 10",IF(H455="","Occurrence O manquante",IF(NOT(IF(ISNUMBER(H455),AND(H455&gt;=1,H455&lt;=10,H455=INT(H455)),FALSE)),"O : entier de 1 à 10",IF(K455="","Détection D manquante",IF(NOT(IF(ISNUMBER(K455),AND(K455&gt;=1,K455&lt;=10,K455=INT(K455)),FALSE)),"D : entier de 1 à 10",IF(G455="","Cause manquante",IF(AND(O455&lt;&gt;"",P455=""),"Responsable manquant",IF(AND(R455&lt;&gt;"",O455=""),"Statut sans action",IF(AND(R455="Réalisée",N(S455)=0),"Date de réalisation manquante",IF(AND(T455&lt;&gt;"",IF(ISNUMBER(T455),T455&lt;0,TRUE)),"Coût invalide",IF(AND(COUNTBLANK(U455:W455)&gt;0,COUNTBLANK(U455:W455)&lt;3),"Cotation après action incomplète",IF(AND(COUNTBLANK(U455:W455)=0,X455=""),"G', O', D' : entiers de 1 à 10",IF(AND(X455&lt;&gt;"",X455&gt;L455),"IPR après action plus élevé","OK")))))))))))))))))</f>
        <v/>
      </c>
      <c r="AC455" s="59" t="str">
        <f>IF(OR(AA455="En retard",AA455="Échéance proche",AA455="Dans les délais",AA455="Échéance manquante",AA455="Action à définir",AA455="À réévaluer"),IF(OR(plan_who="",P455=plan_who),IF(N(Q455)&gt;0,Q455,99999)*1000+ROW(),""),"")</f>
        <v/>
      </c>
      <c r="AD455" s="59" t="str">
        <f>IF(L455="","",L455*1000+1000-ROW())</f>
        <v/>
      </c>
      <c r="AE455" s="59" t="str">
        <f>IF(IF(AA455="En retard",1,IF(AA455="Action à définir",2,IF(AA455="Échéance manquante",3,IF(AA455="Échéance proche",4,IF(AA455="À réévaluer",5,0)))))=0,"",IF(AA455="En retard",1,IF(AA455="Action à définir",2,IF(AA455="Échéance manquante",3,IF(AA455="Échéance proche",4,IF(AA455="À réévaluer",5,0)))))*100000000+IF(N(Q455)&gt;0,Q455,99999)*1000+ROW())</f>
        <v/>
      </c>
      <c r="AF455" s="59" t="str">
        <f>IF(X455&lt;&gt;"",X455,L455)</f>
        <v/>
      </c>
      <c r="AG455" s="59" t="str">
        <f>IF(X455&lt;&gt;"",Y455,IF(L455&lt;&gt;"",M455,""))</f>
        <v/>
      </c>
      <c r="AH455" s="59" t="str">
        <f>IF(L455="","",IF(X455&lt;&gt;"",U455,F455))</f>
        <v/>
      </c>
      <c r="AI455" s="59" t="str">
        <f>IF(L455="","",IF(X455&lt;&gt;"",V455,H455))</f>
        <v/>
      </c>
    </row>
    <row r="456" ht="30" customHeight="1">
      <c r="A456" s="50" t="n"/>
      <c r="B456" s="51" t="n"/>
      <c r="C456" s="51" t="n"/>
      <c r="D456" s="51" t="n"/>
      <c r="E456" s="51" t="n"/>
      <c r="F456" s="52" t="n"/>
      <c r="G456" s="51" t="n"/>
      <c r="H456" s="52" t="n"/>
      <c r="I456" s="51" t="n"/>
      <c r="J456" s="51" t="n"/>
      <c r="K456" s="52" t="n"/>
      <c r="L456" s="53" t="str">
        <f>IF(AND(IF(ISNUMBER(F456),AND(F456&gt;=1,F456&lt;=10,F456=INT(F456)),FALSE),IF(ISNUMBER(H456),AND(H456&gt;=1,H456&lt;=10,H456=INT(H456)),FALSE),IF(ISNUMBER(K456),AND(K456&gt;=1,K456&lt;=10,K456=INT(K456)),FALSE)),F456*H456*K456,"")</f>
        <v/>
      </c>
      <c r="M456" s="54" t="str">
        <f>IF(L456="",IF(D456="","","À coter"),IF(OR(F456&gt;=p_gmin,L456&gt;=p_ipr_crit),"Critique",IF(L456&gt;=p_ipr_act,"Élevée",IF(L456&gt;=p_ipr_watch,"Moyenne","Faible"))))</f>
        <v/>
      </c>
      <c r="N456" s="54" t="str">
        <f>IF(OR(M456="",M456="À coter"),"",IF(OR(M456="Critique",M456="Élevée"),"Oui","Non"))</f>
        <v/>
      </c>
      <c r="O456" s="51" t="n"/>
      <c r="P456" s="51" t="n"/>
      <c r="Q456" s="55" t="n"/>
      <c r="R456" s="50" t="n"/>
      <c r="S456" s="55" t="n"/>
      <c r="T456" s="56" t="n"/>
      <c r="U456" s="52" t="n"/>
      <c r="V456" s="52" t="n"/>
      <c r="W456" s="52" t="n"/>
      <c r="X456" s="53" t="str">
        <f>IF(AND(L456&lt;&gt;"",IF(ISNUMBER(U456),AND(U456&gt;=1,U456&lt;=10,U456=INT(U456)),FALSE),IF(ISNUMBER(V456),AND(V456&gt;=1,V456&lt;=10,V456=INT(V456)),FALSE),IF(ISNUMBER(W456),AND(W456&gt;=1,W456&lt;=10,W456=INT(W456)),FALSE)),U456*V456*W456,"")</f>
        <v/>
      </c>
      <c r="Y456" s="54" t="str">
        <f>IF(X456="","",IF(OR(U456&gt;=p_gmin,X456&gt;=p_ipr_crit),"Critique",IF(X456&gt;=p_ipr_act,"Élevée",IF(X456&gt;=p_ipr_watch,"Moyenne","Faible"))))</f>
        <v/>
      </c>
      <c r="Z456" s="57" t="str">
        <f>IF(X456="","",(L456-X456)/L456)</f>
        <v/>
      </c>
      <c r="AA456" s="54" t="str">
        <f>IF(AND(D456="",O456=""),"",IF(O456="",IF(N456="Oui","Action à définir",IF(N456="Non","Sans action","")),IF(R456="Annulée","Annulée",IF(R456="Réalisée",IF(X456="","À réévaluer","Réalisée"),IF(N(Q456)=0,"Échéance manquante",IF(Q456&lt;p_today,"En retard",IF(Q456-p_today&lt;=p_alert,"Échéance proche","Dans les délais")))))))</f>
        <v/>
      </c>
      <c r="AB456" s="58" t="str">
        <f>IF(AND(A456="",B456="",D456="",F456="",H456="",K456="",O456=""),"",IF(D456="","Mode de défaillance manquant",IF(AND(A456&lt;&gt;"",COUNTIF(am_num,A456)&gt;1),"N° en double",IF(F456="","Gravité G manquante",IF(NOT(IF(ISNUMBER(F456),AND(F456&gt;=1,F456&lt;=10,F456=INT(F456)),FALSE)),"G : entier de 1 à 10",IF(H456="","Occurrence O manquante",IF(NOT(IF(ISNUMBER(H456),AND(H456&gt;=1,H456&lt;=10,H456=INT(H456)),FALSE)),"O : entier de 1 à 10",IF(K456="","Détection D manquante",IF(NOT(IF(ISNUMBER(K456),AND(K456&gt;=1,K456&lt;=10,K456=INT(K456)),FALSE)),"D : entier de 1 à 10",IF(G456="","Cause manquante",IF(AND(O456&lt;&gt;"",P456=""),"Responsable manquant",IF(AND(R456&lt;&gt;"",O456=""),"Statut sans action",IF(AND(R456="Réalisée",N(S456)=0),"Date de réalisation manquante",IF(AND(T456&lt;&gt;"",IF(ISNUMBER(T456),T456&lt;0,TRUE)),"Coût invalide",IF(AND(COUNTBLANK(U456:W456)&gt;0,COUNTBLANK(U456:W456)&lt;3),"Cotation après action incomplète",IF(AND(COUNTBLANK(U456:W456)=0,X456=""),"G', O', D' : entiers de 1 à 10",IF(AND(X456&lt;&gt;"",X456&gt;L456),"IPR après action plus élevé","OK")))))))))))))))))</f>
        <v/>
      </c>
      <c r="AC456" s="59" t="str">
        <f>IF(OR(AA456="En retard",AA456="Échéance proche",AA456="Dans les délais",AA456="Échéance manquante",AA456="Action à définir",AA456="À réévaluer"),IF(OR(plan_who="",P456=plan_who),IF(N(Q456)&gt;0,Q456,99999)*1000+ROW(),""),"")</f>
        <v/>
      </c>
      <c r="AD456" s="59" t="str">
        <f>IF(L456="","",L456*1000+1000-ROW())</f>
        <v/>
      </c>
      <c r="AE456" s="59" t="str">
        <f>IF(IF(AA456="En retard",1,IF(AA456="Action à définir",2,IF(AA456="Échéance manquante",3,IF(AA456="Échéance proche",4,IF(AA456="À réévaluer",5,0)))))=0,"",IF(AA456="En retard",1,IF(AA456="Action à définir",2,IF(AA456="Échéance manquante",3,IF(AA456="Échéance proche",4,IF(AA456="À réévaluer",5,0)))))*100000000+IF(N(Q456)&gt;0,Q456,99999)*1000+ROW())</f>
        <v/>
      </c>
      <c r="AF456" s="59" t="str">
        <f>IF(X456&lt;&gt;"",X456,L456)</f>
        <v/>
      </c>
      <c r="AG456" s="59" t="str">
        <f>IF(X456&lt;&gt;"",Y456,IF(L456&lt;&gt;"",M456,""))</f>
        <v/>
      </c>
      <c r="AH456" s="59" t="str">
        <f>IF(L456="","",IF(X456&lt;&gt;"",U456,F456))</f>
        <v/>
      </c>
      <c r="AI456" s="59" t="str">
        <f>IF(L456="","",IF(X456&lt;&gt;"",V456,H456))</f>
        <v/>
      </c>
    </row>
    <row r="457" ht="30" customHeight="1">
      <c r="A457" s="50" t="n"/>
      <c r="B457" s="51" t="n"/>
      <c r="C457" s="51" t="n"/>
      <c r="D457" s="51" t="n"/>
      <c r="E457" s="51" t="n"/>
      <c r="F457" s="52" t="n"/>
      <c r="G457" s="51" t="n"/>
      <c r="H457" s="52" t="n"/>
      <c r="I457" s="51" t="n"/>
      <c r="J457" s="51" t="n"/>
      <c r="K457" s="52" t="n"/>
      <c r="L457" s="53" t="str">
        <f>IF(AND(IF(ISNUMBER(F457),AND(F457&gt;=1,F457&lt;=10,F457=INT(F457)),FALSE),IF(ISNUMBER(H457),AND(H457&gt;=1,H457&lt;=10,H457=INT(H457)),FALSE),IF(ISNUMBER(K457),AND(K457&gt;=1,K457&lt;=10,K457=INT(K457)),FALSE)),F457*H457*K457,"")</f>
        <v/>
      </c>
      <c r="M457" s="54" t="str">
        <f>IF(L457="",IF(D457="","","À coter"),IF(OR(F457&gt;=p_gmin,L457&gt;=p_ipr_crit),"Critique",IF(L457&gt;=p_ipr_act,"Élevée",IF(L457&gt;=p_ipr_watch,"Moyenne","Faible"))))</f>
        <v/>
      </c>
      <c r="N457" s="54" t="str">
        <f>IF(OR(M457="",M457="À coter"),"",IF(OR(M457="Critique",M457="Élevée"),"Oui","Non"))</f>
        <v/>
      </c>
      <c r="O457" s="51" t="n"/>
      <c r="P457" s="51" t="n"/>
      <c r="Q457" s="55" t="n"/>
      <c r="R457" s="50" t="n"/>
      <c r="S457" s="55" t="n"/>
      <c r="T457" s="56" t="n"/>
      <c r="U457" s="52" t="n"/>
      <c r="V457" s="52" t="n"/>
      <c r="W457" s="52" t="n"/>
      <c r="X457" s="53" t="str">
        <f>IF(AND(L457&lt;&gt;"",IF(ISNUMBER(U457),AND(U457&gt;=1,U457&lt;=10,U457=INT(U457)),FALSE),IF(ISNUMBER(V457),AND(V457&gt;=1,V457&lt;=10,V457=INT(V457)),FALSE),IF(ISNUMBER(W457),AND(W457&gt;=1,W457&lt;=10,W457=INT(W457)),FALSE)),U457*V457*W457,"")</f>
        <v/>
      </c>
      <c r="Y457" s="54" t="str">
        <f>IF(X457="","",IF(OR(U457&gt;=p_gmin,X457&gt;=p_ipr_crit),"Critique",IF(X457&gt;=p_ipr_act,"Élevée",IF(X457&gt;=p_ipr_watch,"Moyenne","Faible"))))</f>
        <v/>
      </c>
      <c r="Z457" s="57" t="str">
        <f>IF(X457="","",(L457-X457)/L457)</f>
        <v/>
      </c>
      <c r="AA457" s="54" t="str">
        <f>IF(AND(D457="",O457=""),"",IF(O457="",IF(N457="Oui","Action à définir",IF(N457="Non","Sans action","")),IF(R457="Annulée","Annulée",IF(R457="Réalisée",IF(X457="","À réévaluer","Réalisée"),IF(N(Q457)=0,"Échéance manquante",IF(Q457&lt;p_today,"En retard",IF(Q457-p_today&lt;=p_alert,"Échéance proche","Dans les délais")))))))</f>
        <v/>
      </c>
      <c r="AB457" s="58" t="str">
        <f>IF(AND(A457="",B457="",D457="",F457="",H457="",K457="",O457=""),"",IF(D457="","Mode de défaillance manquant",IF(AND(A457&lt;&gt;"",COUNTIF(am_num,A457)&gt;1),"N° en double",IF(F457="","Gravité G manquante",IF(NOT(IF(ISNUMBER(F457),AND(F457&gt;=1,F457&lt;=10,F457=INT(F457)),FALSE)),"G : entier de 1 à 10",IF(H457="","Occurrence O manquante",IF(NOT(IF(ISNUMBER(H457),AND(H457&gt;=1,H457&lt;=10,H457=INT(H457)),FALSE)),"O : entier de 1 à 10",IF(K457="","Détection D manquante",IF(NOT(IF(ISNUMBER(K457),AND(K457&gt;=1,K457&lt;=10,K457=INT(K457)),FALSE)),"D : entier de 1 à 10",IF(G457="","Cause manquante",IF(AND(O457&lt;&gt;"",P457=""),"Responsable manquant",IF(AND(R457&lt;&gt;"",O457=""),"Statut sans action",IF(AND(R457="Réalisée",N(S457)=0),"Date de réalisation manquante",IF(AND(T457&lt;&gt;"",IF(ISNUMBER(T457),T457&lt;0,TRUE)),"Coût invalide",IF(AND(COUNTBLANK(U457:W457)&gt;0,COUNTBLANK(U457:W457)&lt;3),"Cotation après action incomplète",IF(AND(COUNTBLANK(U457:W457)=0,X457=""),"G', O', D' : entiers de 1 à 10",IF(AND(X457&lt;&gt;"",X457&gt;L457),"IPR après action plus élevé","OK")))))))))))))))))</f>
        <v/>
      </c>
      <c r="AC457" s="59" t="str">
        <f>IF(OR(AA457="En retard",AA457="Échéance proche",AA457="Dans les délais",AA457="Échéance manquante",AA457="Action à définir",AA457="À réévaluer"),IF(OR(plan_who="",P457=plan_who),IF(N(Q457)&gt;0,Q457,99999)*1000+ROW(),""),"")</f>
        <v/>
      </c>
      <c r="AD457" s="59" t="str">
        <f>IF(L457="","",L457*1000+1000-ROW())</f>
        <v/>
      </c>
      <c r="AE457" s="59" t="str">
        <f>IF(IF(AA457="En retard",1,IF(AA457="Action à définir",2,IF(AA457="Échéance manquante",3,IF(AA457="Échéance proche",4,IF(AA457="À réévaluer",5,0)))))=0,"",IF(AA457="En retard",1,IF(AA457="Action à définir",2,IF(AA457="Échéance manquante",3,IF(AA457="Échéance proche",4,IF(AA457="À réévaluer",5,0)))))*100000000+IF(N(Q457)&gt;0,Q457,99999)*1000+ROW())</f>
        <v/>
      </c>
      <c r="AF457" s="59" t="str">
        <f>IF(X457&lt;&gt;"",X457,L457)</f>
        <v/>
      </c>
      <c r="AG457" s="59" t="str">
        <f>IF(X457&lt;&gt;"",Y457,IF(L457&lt;&gt;"",M457,""))</f>
        <v/>
      </c>
      <c r="AH457" s="59" t="str">
        <f>IF(L457="","",IF(X457&lt;&gt;"",U457,F457))</f>
        <v/>
      </c>
      <c r="AI457" s="59" t="str">
        <f>IF(L457="","",IF(X457&lt;&gt;"",V457,H457))</f>
        <v/>
      </c>
    </row>
    <row r="458" ht="30" customHeight="1">
      <c r="A458" s="50" t="n"/>
      <c r="B458" s="51" t="n"/>
      <c r="C458" s="51" t="n"/>
      <c r="D458" s="51" t="n"/>
      <c r="E458" s="51" t="n"/>
      <c r="F458" s="52" t="n"/>
      <c r="G458" s="51" t="n"/>
      <c r="H458" s="52" t="n"/>
      <c r="I458" s="51" t="n"/>
      <c r="J458" s="51" t="n"/>
      <c r="K458" s="52" t="n"/>
      <c r="L458" s="53" t="str">
        <f>IF(AND(IF(ISNUMBER(F458),AND(F458&gt;=1,F458&lt;=10,F458=INT(F458)),FALSE),IF(ISNUMBER(H458),AND(H458&gt;=1,H458&lt;=10,H458=INT(H458)),FALSE),IF(ISNUMBER(K458),AND(K458&gt;=1,K458&lt;=10,K458=INT(K458)),FALSE)),F458*H458*K458,"")</f>
        <v/>
      </c>
      <c r="M458" s="54" t="str">
        <f>IF(L458="",IF(D458="","","À coter"),IF(OR(F458&gt;=p_gmin,L458&gt;=p_ipr_crit),"Critique",IF(L458&gt;=p_ipr_act,"Élevée",IF(L458&gt;=p_ipr_watch,"Moyenne","Faible"))))</f>
        <v/>
      </c>
      <c r="N458" s="54" t="str">
        <f>IF(OR(M458="",M458="À coter"),"",IF(OR(M458="Critique",M458="Élevée"),"Oui","Non"))</f>
        <v/>
      </c>
      <c r="O458" s="51" t="n"/>
      <c r="P458" s="51" t="n"/>
      <c r="Q458" s="55" t="n"/>
      <c r="R458" s="50" t="n"/>
      <c r="S458" s="55" t="n"/>
      <c r="T458" s="56" t="n"/>
      <c r="U458" s="52" t="n"/>
      <c r="V458" s="52" t="n"/>
      <c r="W458" s="52" t="n"/>
      <c r="X458" s="53" t="str">
        <f>IF(AND(L458&lt;&gt;"",IF(ISNUMBER(U458),AND(U458&gt;=1,U458&lt;=10,U458=INT(U458)),FALSE),IF(ISNUMBER(V458),AND(V458&gt;=1,V458&lt;=10,V458=INT(V458)),FALSE),IF(ISNUMBER(W458),AND(W458&gt;=1,W458&lt;=10,W458=INT(W458)),FALSE)),U458*V458*W458,"")</f>
        <v/>
      </c>
      <c r="Y458" s="54" t="str">
        <f>IF(X458="","",IF(OR(U458&gt;=p_gmin,X458&gt;=p_ipr_crit),"Critique",IF(X458&gt;=p_ipr_act,"Élevée",IF(X458&gt;=p_ipr_watch,"Moyenne","Faible"))))</f>
        <v/>
      </c>
      <c r="Z458" s="57" t="str">
        <f>IF(X458="","",(L458-X458)/L458)</f>
        <v/>
      </c>
      <c r="AA458" s="54" t="str">
        <f>IF(AND(D458="",O458=""),"",IF(O458="",IF(N458="Oui","Action à définir",IF(N458="Non","Sans action","")),IF(R458="Annulée","Annulée",IF(R458="Réalisée",IF(X458="","À réévaluer","Réalisée"),IF(N(Q458)=0,"Échéance manquante",IF(Q458&lt;p_today,"En retard",IF(Q458-p_today&lt;=p_alert,"Échéance proche","Dans les délais")))))))</f>
        <v/>
      </c>
      <c r="AB458" s="58" t="str">
        <f>IF(AND(A458="",B458="",D458="",F458="",H458="",K458="",O458=""),"",IF(D458="","Mode de défaillance manquant",IF(AND(A458&lt;&gt;"",COUNTIF(am_num,A458)&gt;1),"N° en double",IF(F458="","Gravité G manquante",IF(NOT(IF(ISNUMBER(F458),AND(F458&gt;=1,F458&lt;=10,F458=INT(F458)),FALSE)),"G : entier de 1 à 10",IF(H458="","Occurrence O manquante",IF(NOT(IF(ISNUMBER(H458),AND(H458&gt;=1,H458&lt;=10,H458=INT(H458)),FALSE)),"O : entier de 1 à 10",IF(K458="","Détection D manquante",IF(NOT(IF(ISNUMBER(K458),AND(K458&gt;=1,K458&lt;=10,K458=INT(K458)),FALSE)),"D : entier de 1 à 10",IF(G458="","Cause manquante",IF(AND(O458&lt;&gt;"",P458=""),"Responsable manquant",IF(AND(R458&lt;&gt;"",O458=""),"Statut sans action",IF(AND(R458="Réalisée",N(S458)=0),"Date de réalisation manquante",IF(AND(T458&lt;&gt;"",IF(ISNUMBER(T458),T458&lt;0,TRUE)),"Coût invalide",IF(AND(COUNTBLANK(U458:W458)&gt;0,COUNTBLANK(U458:W458)&lt;3),"Cotation après action incomplète",IF(AND(COUNTBLANK(U458:W458)=0,X458=""),"G', O', D' : entiers de 1 à 10",IF(AND(X458&lt;&gt;"",X458&gt;L458),"IPR après action plus élevé","OK")))))))))))))))))</f>
        <v/>
      </c>
      <c r="AC458" s="59" t="str">
        <f>IF(OR(AA458="En retard",AA458="Échéance proche",AA458="Dans les délais",AA458="Échéance manquante",AA458="Action à définir",AA458="À réévaluer"),IF(OR(plan_who="",P458=plan_who),IF(N(Q458)&gt;0,Q458,99999)*1000+ROW(),""),"")</f>
        <v/>
      </c>
      <c r="AD458" s="59" t="str">
        <f>IF(L458="","",L458*1000+1000-ROW())</f>
        <v/>
      </c>
      <c r="AE458" s="59" t="str">
        <f>IF(IF(AA458="En retard",1,IF(AA458="Action à définir",2,IF(AA458="Échéance manquante",3,IF(AA458="Échéance proche",4,IF(AA458="À réévaluer",5,0)))))=0,"",IF(AA458="En retard",1,IF(AA458="Action à définir",2,IF(AA458="Échéance manquante",3,IF(AA458="Échéance proche",4,IF(AA458="À réévaluer",5,0)))))*100000000+IF(N(Q458)&gt;0,Q458,99999)*1000+ROW())</f>
        <v/>
      </c>
      <c r="AF458" s="59" t="str">
        <f>IF(X458&lt;&gt;"",X458,L458)</f>
        <v/>
      </c>
      <c r="AG458" s="59" t="str">
        <f>IF(X458&lt;&gt;"",Y458,IF(L458&lt;&gt;"",M458,""))</f>
        <v/>
      </c>
      <c r="AH458" s="59" t="str">
        <f>IF(L458="","",IF(X458&lt;&gt;"",U458,F458))</f>
        <v/>
      </c>
      <c r="AI458" s="59" t="str">
        <f>IF(L458="","",IF(X458&lt;&gt;"",V458,H458))</f>
        <v/>
      </c>
    </row>
    <row r="459" ht="30" customHeight="1">
      <c r="A459" s="50" t="n"/>
      <c r="B459" s="51" t="n"/>
      <c r="C459" s="51" t="n"/>
      <c r="D459" s="51" t="n"/>
      <c r="E459" s="51" t="n"/>
      <c r="F459" s="52" t="n"/>
      <c r="G459" s="51" t="n"/>
      <c r="H459" s="52" t="n"/>
      <c r="I459" s="51" t="n"/>
      <c r="J459" s="51" t="n"/>
      <c r="K459" s="52" t="n"/>
      <c r="L459" s="53" t="str">
        <f>IF(AND(IF(ISNUMBER(F459),AND(F459&gt;=1,F459&lt;=10,F459=INT(F459)),FALSE),IF(ISNUMBER(H459),AND(H459&gt;=1,H459&lt;=10,H459=INT(H459)),FALSE),IF(ISNUMBER(K459),AND(K459&gt;=1,K459&lt;=10,K459=INT(K459)),FALSE)),F459*H459*K459,"")</f>
        <v/>
      </c>
      <c r="M459" s="54" t="str">
        <f>IF(L459="",IF(D459="","","À coter"),IF(OR(F459&gt;=p_gmin,L459&gt;=p_ipr_crit),"Critique",IF(L459&gt;=p_ipr_act,"Élevée",IF(L459&gt;=p_ipr_watch,"Moyenne","Faible"))))</f>
        <v/>
      </c>
      <c r="N459" s="54" t="str">
        <f>IF(OR(M459="",M459="À coter"),"",IF(OR(M459="Critique",M459="Élevée"),"Oui","Non"))</f>
        <v/>
      </c>
      <c r="O459" s="51" t="n"/>
      <c r="P459" s="51" t="n"/>
      <c r="Q459" s="55" t="n"/>
      <c r="R459" s="50" t="n"/>
      <c r="S459" s="55" t="n"/>
      <c r="T459" s="56" t="n"/>
      <c r="U459" s="52" t="n"/>
      <c r="V459" s="52" t="n"/>
      <c r="W459" s="52" t="n"/>
      <c r="X459" s="53" t="str">
        <f>IF(AND(L459&lt;&gt;"",IF(ISNUMBER(U459),AND(U459&gt;=1,U459&lt;=10,U459=INT(U459)),FALSE),IF(ISNUMBER(V459),AND(V459&gt;=1,V459&lt;=10,V459=INT(V459)),FALSE),IF(ISNUMBER(W459),AND(W459&gt;=1,W459&lt;=10,W459=INT(W459)),FALSE)),U459*V459*W459,"")</f>
        <v/>
      </c>
      <c r="Y459" s="54" t="str">
        <f>IF(X459="","",IF(OR(U459&gt;=p_gmin,X459&gt;=p_ipr_crit),"Critique",IF(X459&gt;=p_ipr_act,"Élevée",IF(X459&gt;=p_ipr_watch,"Moyenne","Faible"))))</f>
        <v/>
      </c>
      <c r="Z459" s="57" t="str">
        <f>IF(X459="","",(L459-X459)/L459)</f>
        <v/>
      </c>
      <c r="AA459" s="54" t="str">
        <f>IF(AND(D459="",O459=""),"",IF(O459="",IF(N459="Oui","Action à définir",IF(N459="Non","Sans action","")),IF(R459="Annulée","Annulée",IF(R459="Réalisée",IF(X459="","À réévaluer","Réalisée"),IF(N(Q459)=0,"Échéance manquante",IF(Q459&lt;p_today,"En retard",IF(Q459-p_today&lt;=p_alert,"Échéance proche","Dans les délais")))))))</f>
        <v/>
      </c>
      <c r="AB459" s="58" t="str">
        <f>IF(AND(A459="",B459="",D459="",F459="",H459="",K459="",O459=""),"",IF(D459="","Mode de défaillance manquant",IF(AND(A459&lt;&gt;"",COUNTIF(am_num,A459)&gt;1),"N° en double",IF(F459="","Gravité G manquante",IF(NOT(IF(ISNUMBER(F459),AND(F459&gt;=1,F459&lt;=10,F459=INT(F459)),FALSE)),"G : entier de 1 à 10",IF(H459="","Occurrence O manquante",IF(NOT(IF(ISNUMBER(H459),AND(H459&gt;=1,H459&lt;=10,H459=INT(H459)),FALSE)),"O : entier de 1 à 10",IF(K459="","Détection D manquante",IF(NOT(IF(ISNUMBER(K459),AND(K459&gt;=1,K459&lt;=10,K459=INT(K459)),FALSE)),"D : entier de 1 à 10",IF(G459="","Cause manquante",IF(AND(O459&lt;&gt;"",P459=""),"Responsable manquant",IF(AND(R459&lt;&gt;"",O459=""),"Statut sans action",IF(AND(R459="Réalisée",N(S459)=0),"Date de réalisation manquante",IF(AND(T459&lt;&gt;"",IF(ISNUMBER(T459),T459&lt;0,TRUE)),"Coût invalide",IF(AND(COUNTBLANK(U459:W459)&gt;0,COUNTBLANK(U459:W459)&lt;3),"Cotation après action incomplète",IF(AND(COUNTBLANK(U459:W459)=0,X459=""),"G', O', D' : entiers de 1 à 10",IF(AND(X459&lt;&gt;"",X459&gt;L459),"IPR après action plus élevé","OK")))))))))))))))))</f>
        <v/>
      </c>
      <c r="AC459" s="59" t="str">
        <f>IF(OR(AA459="En retard",AA459="Échéance proche",AA459="Dans les délais",AA459="Échéance manquante",AA459="Action à définir",AA459="À réévaluer"),IF(OR(plan_who="",P459=plan_who),IF(N(Q459)&gt;0,Q459,99999)*1000+ROW(),""),"")</f>
        <v/>
      </c>
      <c r="AD459" s="59" t="str">
        <f>IF(L459="","",L459*1000+1000-ROW())</f>
        <v/>
      </c>
      <c r="AE459" s="59" t="str">
        <f>IF(IF(AA459="En retard",1,IF(AA459="Action à définir",2,IF(AA459="Échéance manquante",3,IF(AA459="Échéance proche",4,IF(AA459="À réévaluer",5,0)))))=0,"",IF(AA459="En retard",1,IF(AA459="Action à définir",2,IF(AA459="Échéance manquante",3,IF(AA459="Échéance proche",4,IF(AA459="À réévaluer",5,0)))))*100000000+IF(N(Q459)&gt;0,Q459,99999)*1000+ROW())</f>
        <v/>
      </c>
      <c r="AF459" s="59" t="str">
        <f>IF(X459&lt;&gt;"",X459,L459)</f>
        <v/>
      </c>
      <c r="AG459" s="59" t="str">
        <f>IF(X459&lt;&gt;"",Y459,IF(L459&lt;&gt;"",M459,""))</f>
        <v/>
      </c>
      <c r="AH459" s="59" t="str">
        <f>IF(L459="","",IF(X459&lt;&gt;"",U459,F459))</f>
        <v/>
      </c>
      <c r="AI459" s="59" t="str">
        <f>IF(L459="","",IF(X459&lt;&gt;"",V459,H459))</f>
        <v/>
      </c>
    </row>
    <row r="460" ht="30" customHeight="1">
      <c r="A460" s="50" t="n"/>
      <c r="B460" s="51" t="n"/>
      <c r="C460" s="51" t="n"/>
      <c r="D460" s="51" t="n"/>
      <c r="E460" s="51" t="n"/>
      <c r="F460" s="52" t="n"/>
      <c r="G460" s="51" t="n"/>
      <c r="H460" s="52" t="n"/>
      <c r="I460" s="51" t="n"/>
      <c r="J460" s="51" t="n"/>
      <c r="K460" s="52" t="n"/>
      <c r="L460" s="53" t="str">
        <f>IF(AND(IF(ISNUMBER(F460),AND(F460&gt;=1,F460&lt;=10,F460=INT(F460)),FALSE),IF(ISNUMBER(H460),AND(H460&gt;=1,H460&lt;=10,H460=INT(H460)),FALSE),IF(ISNUMBER(K460),AND(K460&gt;=1,K460&lt;=10,K460=INT(K460)),FALSE)),F460*H460*K460,"")</f>
        <v/>
      </c>
      <c r="M460" s="54" t="str">
        <f>IF(L460="",IF(D460="","","À coter"),IF(OR(F460&gt;=p_gmin,L460&gt;=p_ipr_crit),"Critique",IF(L460&gt;=p_ipr_act,"Élevée",IF(L460&gt;=p_ipr_watch,"Moyenne","Faible"))))</f>
        <v/>
      </c>
      <c r="N460" s="54" t="str">
        <f>IF(OR(M460="",M460="À coter"),"",IF(OR(M460="Critique",M460="Élevée"),"Oui","Non"))</f>
        <v/>
      </c>
      <c r="O460" s="51" t="n"/>
      <c r="P460" s="51" t="n"/>
      <c r="Q460" s="55" t="n"/>
      <c r="R460" s="50" t="n"/>
      <c r="S460" s="55" t="n"/>
      <c r="T460" s="56" t="n"/>
      <c r="U460" s="52" t="n"/>
      <c r="V460" s="52" t="n"/>
      <c r="W460" s="52" t="n"/>
      <c r="X460" s="53" t="str">
        <f>IF(AND(L460&lt;&gt;"",IF(ISNUMBER(U460),AND(U460&gt;=1,U460&lt;=10,U460=INT(U460)),FALSE),IF(ISNUMBER(V460),AND(V460&gt;=1,V460&lt;=10,V460=INT(V460)),FALSE),IF(ISNUMBER(W460),AND(W460&gt;=1,W460&lt;=10,W460=INT(W460)),FALSE)),U460*V460*W460,"")</f>
        <v/>
      </c>
      <c r="Y460" s="54" t="str">
        <f>IF(X460="","",IF(OR(U460&gt;=p_gmin,X460&gt;=p_ipr_crit),"Critique",IF(X460&gt;=p_ipr_act,"Élevée",IF(X460&gt;=p_ipr_watch,"Moyenne","Faible"))))</f>
        <v/>
      </c>
      <c r="Z460" s="57" t="str">
        <f>IF(X460="","",(L460-X460)/L460)</f>
        <v/>
      </c>
      <c r="AA460" s="54" t="str">
        <f>IF(AND(D460="",O460=""),"",IF(O460="",IF(N460="Oui","Action à définir",IF(N460="Non","Sans action","")),IF(R460="Annulée","Annulée",IF(R460="Réalisée",IF(X460="","À réévaluer","Réalisée"),IF(N(Q460)=0,"Échéance manquante",IF(Q460&lt;p_today,"En retard",IF(Q460-p_today&lt;=p_alert,"Échéance proche","Dans les délais")))))))</f>
        <v/>
      </c>
      <c r="AB460" s="58" t="str">
        <f>IF(AND(A460="",B460="",D460="",F460="",H460="",K460="",O460=""),"",IF(D460="","Mode de défaillance manquant",IF(AND(A460&lt;&gt;"",COUNTIF(am_num,A460)&gt;1),"N° en double",IF(F460="","Gravité G manquante",IF(NOT(IF(ISNUMBER(F460),AND(F460&gt;=1,F460&lt;=10,F460=INT(F460)),FALSE)),"G : entier de 1 à 10",IF(H460="","Occurrence O manquante",IF(NOT(IF(ISNUMBER(H460),AND(H460&gt;=1,H460&lt;=10,H460=INT(H460)),FALSE)),"O : entier de 1 à 10",IF(K460="","Détection D manquante",IF(NOT(IF(ISNUMBER(K460),AND(K460&gt;=1,K460&lt;=10,K460=INT(K460)),FALSE)),"D : entier de 1 à 10",IF(G460="","Cause manquante",IF(AND(O460&lt;&gt;"",P460=""),"Responsable manquant",IF(AND(R460&lt;&gt;"",O460=""),"Statut sans action",IF(AND(R460="Réalisée",N(S460)=0),"Date de réalisation manquante",IF(AND(T460&lt;&gt;"",IF(ISNUMBER(T460),T460&lt;0,TRUE)),"Coût invalide",IF(AND(COUNTBLANK(U460:W460)&gt;0,COUNTBLANK(U460:W460)&lt;3),"Cotation après action incomplète",IF(AND(COUNTBLANK(U460:W460)=0,X460=""),"G', O', D' : entiers de 1 à 10",IF(AND(X460&lt;&gt;"",X460&gt;L460),"IPR après action plus élevé","OK")))))))))))))))))</f>
        <v/>
      </c>
      <c r="AC460" s="59" t="str">
        <f>IF(OR(AA460="En retard",AA460="Échéance proche",AA460="Dans les délais",AA460="Échéance manquante",AA460="Action à définir",AA460="À réévaluer"),IF(OR(plan_who="",P460=plan_who),IF(N(Q460)&gt;0,Q460,99999)*1000+ROW(),""),"")</f>
        <v/>
      </c>
      <c r="AD460" s="59" t="str">
        <f>IF(L460="","",L460*1000+1000-ROW())</f>
        <v/>
      </c>
      <c r="AE460" s="59" t="str">
        <f>IF(IF(AA460="En retard",1,IF(AA460="Action à définir",2,IF(AA460="Échéance manquante",3,IF(AA460="Échéance proche",4,IF(AA460="À réévaluer",5,0)))))=0,"",IF(AA460="En retard",1,IF(AA460="Action à définir",2,IF(AA460="Échéance manquante",3,IF(AA460="Échéance proche",4,IF(AA460="À réévaluer",5,0)))))*100000000+IF(N(Q460)&gt;0,Q460,99999)*1000+ROW())</f>
        <v/>
      </c>
      <c r="AF460" s="59" t="str">
        <f>IF(X460&lt;&gt;"",X460,L460)</f>
        <v/>
      </c>
      <c r="AG460" s="59" t="str">
        <f>IF(X460&lt;&gt;"",Y460,IF(L460&lt;&gt;"",M460,""))</f>
        <v/>
      </c>
      <c r="AH460" s="59" t="str">
        <f>IF(L460="","",IF(X460&lt;&gt;"",U460,F460))</f>
        <v/>
      </c>
      <c r="AI460" s="59" t="str">
        <f>IF(L460="","",IF(X460&lt;&gt;"",V460,H460))</f>
        <v/>
      </c>
    </row>
    <row r="461" ht="30" customHeight="1">
      <c r="A461" s="50" t="n"/>
      <c r="B461" s="51" t="n"/>
      <c r="C461" s="51" t="n"/>
      <c r="D461" s="51" t="n"/>
      <c r="E461" s="51" t="n"/>
      <c r="F461" s="52" t="n"/>
      <c r="G461" s="51" t="n"/>
      <c r="H461" s="52" t="n"/>
      <c r="I461" s="51" t="n"/>
      <c r="J461" s="51" t="n"/>
      <c r="K461" s="52" t="n"/>
      <c r="L461" s="53" t="str">
        <f>IF(AND(IF(ISNUMBER(F461),AND(F461&gt;=1,F461&lt;=10,F461=INT(F461)),FALSE),IF(ISNUMBER(H461),AND(H461&gt;=1,H461&lt;=10,H461=INT(H461)),FALSE),IF(ISNUMBER(K461),AND(K461&gt;=1,K461&lt;=10,K461=INT(K461)),FALSE)),F461*H461*K461,"")</f>
        <v/>
      </c>
      <c r="M461" s="54" t="str">
        <f>IF(L461="",IF(D461="","","À coter"),IF(OR(F461&gt;=p_gmin,L461&gt;=p_ipr_crit),"Critique",IF(L461&gt;=p_ipr_act,"Élevée",IF(L461&gt;=p_ipr_watch,"Moyenne","Faible"))))</f>
        <v/>
      </c>
      <c r="N461" s="54" t="str">
        <f>IF(OR(M461="",M461="À coter"),"",IF(OR(M461="Critique",M461="Élevée"),"Oui","Non"))</f>
        <v/>
      </c>
      <c r="O461" s="51" t="n"/>
      <c r="P461" s="51" t="n"/>
      <c r="Q461" s="55" t="n"/>
      <c r="R461" s="50" t="n"/>
      <c r="S461" s="55" t="n"/>
      <c r="T461" s="56" t="n"/>
      <c r="U461" s="52" t="n"/>
      <c r="V461" s="52" t="n"/>
      <c r="W461" s="52" t="n"/>
      <c r="X461" s="53" t="str">
        <f>IF(AND(L461&lt;&gt;"",IF(ISNUMBER(U461),AND(U461&gt;=1,U461&lt;=10,U461=INT(U461)),FALSE),IF(ISNUMBER(V461),AND(V461&gt;=1,V461&lt;=10,V461=INT(V461)),FALSE),IF(ISNUMBER(W461),AND(W461&gt;=1,W461&lt;=10,W461=INT(W461)),FALSE)),U461*V461*W461,"")</f>
        <v/>
      </c>
      <c r="Y461" s="54" t="str">
        <f>IF(X461="","",IF(OR(U461&gt;=p_gmin,X461&gt;=p_ipr_crit),"Critique",IF(X461&gt;=p_ipr_act,"Élevée",IF(X461&gt;=p_ipr_watch,"Moyenne","Faible"))))</f>
        <v/>
      </c>
      <c r="Z461" s="57" t="str">
        <f>IF(X461="","",(L461-X461)/L461)</f>
        <v/>
      </c>
      <c r="AA461" s="54" t="str">
        <f>IF(AND(D461="",O461=""),"",IF(O461="",IF(N461="Oui","Action à définir",IF(N461="Non","Sans action","")),IF(R461="Annulée","Annulée",IF(R461="Réalisée",IF(X461="","À réévaluer","Réalisée"),IF(N(Q461)=0,"Échéance manquante",IF(Q461&lt;p_today,"En retard",IF(Q461-p_today&lt;=p_alert,"Échéance proche","Dans les délais")))))))</f>
        <v/>
      </c>
      <c r="AB461" s="58" t="str">
        <f>IF(AND(A461="",B461="",D461="",F461="",H461="",K461="",O461=""),"",IF(D461="","Mode de défaillance manquant",IF(AND(A461&lt;&gt;"",COUNTIF(am_num,A461)&gt;1),"N° en double",IF(F461="","Gravité G manquante",IF(NOT(IF(ISNUMBER(F461),AND(F461&gt;=1,F461&lt;=10,F461=INT(F461)),FALSE)),"G : entier de 1 à 10",IF(H461="","Occurrence O manquante",IF(NOT(IF(ISNUMBER(H461),AND(H461&gt;=1,H461&lt;=10,H461=INT(H461)),FALSE)),"O : entier de 1 à 10",IF(K461="","Détection D manquante",IF(NOT(IF(ISNUMBER(K461),AND(K461&gt;=1,K461&lt;=10,K461=INT(K461)),FALSE)),"D : entier de 1 à 10",IF(G461="","Cause manquante",IF(AND(O461&lt;&gt;"",P461=""),"Responsable manquant",IF(AND(R461&lt;&gt;"",O461=""),"Statut sans action",IF(AND(R461="Réalisée",N(S461)=0),"Date de réalisation manquante",IF(AND(T461&lt;&gt;"",IF(ISNUMBER(T461),T461&lt;0,TRUE)),"Coût invalide",IF(AND(COUNTBLANK(U461:W461)&gt;0,COUNTBLANK(U461:W461)&lt;3),"Cotation après action incomplète",IF(AND(COUNTBLANK(U461:W461)=0,X461=""),"G', O', D' : entiers de 1 à 10",IF(AND(X461&lt;&gt;"",X461&gt;L461),"IPR après action plus élevé","OK")))))))))))))))))</f>
        <v/>
      </c>
      <c r="AC461" s="59" t="str">
        <f>IF(OR(AA461="En retard",AA461="Échéance proche",AA461="Dans les délais",AA461="Échéance manquante",AA461="Action à définir",AA461="À réévaluer"),IF(OR(plan_who="",P461=plan_who),IF(N(Q461)&gt;0,Q461,99999)*1000+ROW(),""),"")</f>
        <v/>
      </c>
      <c r="AD461" s="59" t="str">
        <f>IF(L461="","",L461*1000+1000-ROW())</f>
        <v/>
      </c>
      <c r="AE461" s="59" t="str">
        <f>IF(IF(AA461="En retard",1,IF(AA461="Action à définir",2,IF(AA461="Échéance manquante",3,IF(AA461="Échéance proche",4,IF(AA461="À réévaluer",5,0)))))=0,"",IF(AA461="En retard",1,IF(AA461="Action à définir",2,IF(AA461="Échéance manquante",3,IF(AA461="Échéance proche",4,IF(AA461="À réévaluer",5,0)))))*100000000+IF(N(Q461)&gt;0,Q461,99999)*1000+ROW())</f>
        <v/>
      </c>
      <c r="AF461" s="59" t="str">
        <f>IF(X461&lt;&gt;"",X461,L461)</f>
        <v/>
      </c>
      <c r="AG461" s="59" t="str">
        <f>IF(X461&lt;&gt;"",Y461,IF(L461&lt;&gt;"",M461,""))</f>
        <v/>
      </c>
      <c r="AH461" s="59" t="str">
        <f>IF(L461="","",IF(X461&lt;&gt;"",U461,F461))</f>
        <v/>
      </c>
      <c r="AI461" s="59" t="str">
        <f>IF(L461="","",IF(X461&lt;&gt;"",V461,H461))</f>
        <v/>
      </c>
    </row>
    <row r="462" ht="30" customHeight="1">
      <c r="A462" s="50" t="n"/>
      <c r="B462" s="51" t="n"/>
      <c r="C462" s="51" t="n"/>
      <c r="D462" s="51" t="n"/>
      <c r="E462" s="51" t="n"/>
      <c r="F462" s="52" t="n"/>
      <c r="G462" s="51" t="n"/>
      <c r="H462" s="52" t="n"/>
      <c r="I462" s="51" t="n"/>
      <c r="J462" s="51" t="n"/>
      <c r="K462" s="52" t="n"/>
      <c r="L462" s="53" t="str">
        <f>IF(AND(IF(ISNUMBER(F462),AND(F462&gt;=1,F462&lt;=10,F462=INT(F462)),FALSE),IF(ISNUMBER(H462),AND(H462&gt;=1,H462&lt;=10,H462=INT(H462)),FALSE),IF(ISNUMBER(K462),AND(K462&gt;=1,K462&lt;=10,K462=INT(K462)),FALSE)),F462*H462*K462,"")</f>
        <v/>
      </c>
      <c r="M462" s="54" t="str">
        <f>IF(L462="",IF(D462="","","À coter"),IF(OR(F462&gt;=p_gmin,L462&gt;=p_ipr_crit),"Critique",IF(L462&gt;=p_ipr_act,"Élevée",IF(L462&gt;=p_ipr_watch,"Moyenne","Faible"))))</f>
        <v/>
      </c>
      <c r="N462" s="54" t="str">
        <f>IF(OR(M462="",M462="À coter"),"",IF(OR(M462="Critique",M462="Élevée"),"Oui","Non"))</f>
        <v/>
      </c>
      <c r="O462" s="51" t="n"/>
      <c r="P462" s="51" t="n"/>
      <c r="Q462" s="55" t="n"/>
      <c r="R462" s="50" t="n"/>
      <c r="S462" s="55" t="n"/>
      <c r="T462" s="56" t="n"/>
      <c r="U462" s="52" t="n"/>
      <c r="V462" s="52" t="n"/>
      <c r="W462" s="52" t="n"/>
      <c r="X462" s="53" t="str">
        <f>IF(AND(L462&lt;&gt;"",IF(ISNUMBER(U462),AND(U462&gt;=1,U462&lt;=10,U462=INT(U462)),FALSE),IF(ISNUMBER(V462),AND(V462&gt;=1,V462&lt;=10,V462=INT(V462)),FALSE),IF(ISNUMBER(W462),AND(W462&gt;=1,W462&lt;=10,W462=INT(W462)),FALSE)),U462*V462*W462,"")</f>
        <v/>
      </c>
      <c r="Y462" s="54" t="str">
        <f>IF(X462="","",IF(OR(U462&gt;=p_gmin,X462&gt;=p_ipr_crit),"Critique",IF(X462&gt;=p_ipr_act,"Élevée",IF(X462&gt;=p_ipr_watch,"Moyenne","Faible"))))</f>
        <v/>
      </c>
      <c r="Z462" s="57" t="str">
        <f>IF(X462="","",(L462-X462)/L462)</f>
        <v/>
      </c>
      <c r="AA462" s="54" t="str">
        <f>IF(AND(D462="",O462=""),"",IF(O462="",IF(N462="Oui","Action à définir",IF(N462="Non","Sans action","")),IF(R462="Annulée","Annulée",IF(R462="Réalisée",IF(X462="","À réévaluer","Réalisée"),IF(N(Q462)=0,"Échéance manquante",IF(Q462&lt;p_today,"En retard",IF(Q462-p_today&lt;=p_alert,"Échéance proche","Dans les délais")))))))</f>
        <v/>
      </c>
      <c r="AB462" s="58" t="str">
        <f>IF(AND(A462="",B462="",D462="",F462="",H462="",K462="",O462=""),"",IF(D462="","Mode de défaillance manquant",IF(AND(A462&lt;&gt;"",COUNTIF(am_num,A462)&gt;1),"N° en double",IF(F462="","Gravité G manquante",IF(NOT(IF(ISNUMBER(F462),AND(F462&gt;=1,F462&lt;=10,F462=INT(F462)),FALSE)),"G : entier de 1 à 10",IF(H462="","Occurrence O manquante",IF(NOT(IF(ISNUMBER(H462),AND(H462&gt;=1,H462&lt;=10,H462=INT(H462)),FALSE)),"O : entier de 1 à 10",IF(K462="","Détection D manquante",IF(NOT(IF(ISNUMBER(K462),AND(K462&gt;=1,K462&lt;=10,K462=INT(K462)),FALSE)),"D : entier de 1 à 10",IF(G462="","Cause manquante",IF(AND(O462&lt;&gt;"",P462=""),"Responsable manquant",IF(AND(R462&lt;&gt;"",O462=""),"Statut sans action",IF(AND(R462="Réalisée",N(S462)=0),"Date de réalisation manquante",IF(AND(T462&lt;&gt;"",IF(ISNUMBER(T462),T462&lt;0,TRUE)),"Coût invalide",IF(AND(COUNTBLANK(U462:W462)&gt;0,COUNTBLANK(U462:W462)&lt;3),"Cotation après action incomplète",IF(AND(COUNTBLANK(U462:W462)=0,X462=""),"G', O', D' : entiers de 1 à 10",IF(AND(X462&lt;&gt;"",X462&gt;L462),"IPR après action plus élevé","OK")))))))))))))))))</f>
        <v/>
      </c>
      <c r="AC462" s="59" t="str">
        <f>IF(OR(AA462="En retard",AA462="Échéance proche",AA462="Dans les délais",AA462="Échéance manquante",AA462="Action à définir",AA462="À réévaluer"),IF(OR(plan_who="",P462=plan_who),IF(N(Q462)&gt;0,Q462,99999)*1000+ROW(),""),"")</f>
        <v/>
      </c>
      <c r="AD462" s="59" t="str">
        <f>IF(L462="","",L462*1000+1000-ROW())</f>
        <v/>
      </c>
      <c r="AE462" s="59" t="str">
        <f>IF(IF(AA462="En retard",1,IF(AA462="Action à définir",2,IF(AA462="Échéance manquante",3,IF(AA462="Échéance proche",4,IF(AA462="À réévaluer",5,0)))))=0,"",IF(AA462="En retard",1,IF(AA462="Action à définir",2,IF(AA462="Échéance manquante",3,IF(AA462="Échéance proche",4,IF(AA462="À réévaluer",5,0)))))*100000000+IF(N(Q462)&gt;0,Q462,99999)*1000+ROW())</f>
        <v/>
      </c>
      <c r="AF462" s="59" t="str">
        <f>IF(X462&lt;&gt;"",X462,L462)</f>
        <v/>
      </c>
      <c r="AG462" s="59" t="str">
        <f>IF(X462&lt;&gt;"",Y462,IF(L462&lt;&gt;"",M462,""))</f>
        <v/>
      </c>
      <c r="AH462" s="59" t="str">
        <f>IF(L462="","",IF(X462&lt;&gt;"",U462,F462))</f>
        <v/>
      </c>
      <c r="AI462" s="59" t="str">
        <f>IF(L462="","",IF(X462&lt;&gt;"",V462,H462))</f>
        <v/>
      </c>
    </row>
    <row r="463" ht="30" customHeight="1">
      <c r="A463" s="50" t="n"/>
      <c r="B463" s="51" t="n"/>
      <c r="C463" s="51" t="n"/>
      <c r="D463" s="51" t="n"/>
      <c r="E463" s="51" t="n"/>
      <c r="F463" s="52" t="n"/>
      <c r="G463" s="51" t="n"/>
      <c r="H463" s="52" t="n"/>
      <c r="I463" s="51" t="n"/>
      <c r="J463" s="51" t="n"/>
      <c r="K463" s="52" t="n"/>
      <c r="L463" s="53" t="str">
        <f>IF(AND(IF(ISNUMBER(F463),AND(F463&gt;=1,F463&lt;=10,F463=INT(F463)),FALSE),IF(ISNUMBER(H463),AND(H463&gt;=1,H463&lt;=10,H463=INT(H463)),FALSE),IF(ISNUMBER(K463),AND(K463&gt;=1,K463&lt;=10,K463=INT(K463)),FALSE)),F463*H463*K463,"")</f>
        <v/>
      </c>
      <c r="M463" s="54" t="str">
        <f>IF(L463="",IF(D463="","","À coter"),IF(OR(F463&gt;=p_gmin,L463&gt;=p_ipr_crit),"Critique",IF(L463&gt;=p_ipr_act,"Élevée",IF(L463&gt;=p_ipr_watch,"Moyenne","Faible"))))</f>
        <v/>
      </c>
      <c r="N463" s="54" t="str">
        <f>IF(OR(M463="",M463="À coter"),"",IF(OR(M463="Critique",M463="Élevée"),"Oui","Non"))</f>
        <v/>
      </c>
      <c r="O463" s="51" t="n"/>
      <c r="P463" s="51" t="n"/>
      <c r="Q463" s="55" t="n"/>
      <c r="R463" s="50" t="n"/>
      <c r="S463" s="55" t="n"/>
      <c r="T463" s="56" t="n"/>
      <c r="U463" s="52" t="n"/>
      <c r="V463" s="52" t="n"/>
      <c r="W463" s="52" t="n"/>
      <c r="X463" s="53" t="str">
        <f>IF(AND(L463&lt;&gt;"",IF(ISNUMBER(U463),AND(U463&gt;=1,U463&lt;=10,U463=INT(U463)),FALSE),IF(ISNUMBER(V463),AND(V463&gt;=1,V463&lt;=10,V463=INT(V463)),FALSE),IF(ISNUMBER(W463),AND(W463&gt;=1,W463&lt;=10,W463=INT(W463)),FALSE)),U463*V463*W463,"")</f>
        <v/>
      </c>
      <c r="Y463" s="54" t="str">
        <f>IF(X463="","",IF(OR(U463&gt;=p_gmin,X463&gt;=p_ipr_crit),"Critique",IF(X463&gt;=p_ipr_act,"Élevée",IF(X463&gt;=p_ipr_watch,"Moyenne","Faible"))))</f>
        <v/>
      </c>
      <c r="Z463" s="57" t="str">
        <f>IF(X463="","",(L463-X463)/L463)</f>
        <v/>
      </c>
      <c r="AA463" s="54" t="str">
        <f>IF(AND(D463="",O463=""),"",IF(O463="",IF(N463="Oui","Action à définir",IF(N463="Non","Sans action","")),IF(R463="Annulée","Annulée",IF(R463="Réalisée",IF(X463="","À réévaluer","Réalisée"),IF(N(Q463)=0,"Échéance manquante",IF(Q463&lt;p_today,"En retard",IF(Q463-p_today&lt;=p_alert,"Échéance proche","Dans les délais")))))))</f>
        <v/>
      </c>
      <c r="AB463" s="58" t="str">
        <f>IF(AND(A463="",B463="",D463="",F463="",H463="",K463="",O463=""),"",IF(D463="","Mode de défaillance manquant",IF(AND(A463&lt;&gt;"",COUNTIF(am_num,A463)&gt;1),"N° en double",IF(F463="","Gravité G manquante",IF(NOT(IF(ISNUMBER(F463),AND(F463&gt;=1,F463&lt;=10,F463=INT(F463)),FALSE)),"G : entier de 1 à 10",IF(H463="","Occurrence O manquante",IF(NOT(IF(ISNUMBER(H463),AND(H463&gt;=1,H463&lt;=10,H463=INT(H463)),FALSE)),"O : entier de 1 à 10",IF(K463="","Détection D manquante",IF(NOT(IF(ISNUMBER(K463),AND(K463&gt;=1,K463&lt;=10,K463=INT(K463)),FALSE)),"D : entier de 1 à 10",IF(G463="","Cause manquante",IF(AND(O463&lt;&gt;"",P463=""),"Responsable manquant",IF(AND(R463&lt;&gt;"",O463=""),"Statut sans action",IF(AND(R463="Réalisée",N(S463)=0),"Date de réalisation manquante",IF(AND(T463&lt;&gt;"",IF(ISNUMBER(T463),T463&lt;0,TRUE)),"Coût invalide",IF(AND(COUNTBLANK(U463:W463)&gt;0,COUNTBLANK(U463:W463)&lt;3),"Cotation après action incomplète",IF(AND(COUNTBLANK(U463:W463)=0,X463=""),"G', O', D' : entiers de 1 à 10",IF(AND(X463&lt;&gt;"",X463&gt;L463),"IPR après action plus élevé","OK")))))))))))))))))</f>
        <v/>
      </c>
      <c r="AC463" s="59" t="str">
        <f>IF(OR(AA463="En retard",AA463="Échéance proche",AA463="Dans les délais",AA463="Échéance manquante",AA463="Action à définir",AA463="À réévaluer"),IF(OR(plan_who="",P463=plan_who),IF(N(Q463)&gt;0,Q463,99999)*1000+ROW(),""),"")</f>
        <v/>
      </c>
      <c r="AD463" s="59" t="str">
        <f>IF(L463="","",L463*1000+1000-ROW())</f>
        <v/>
      </c>
      <c r="AE463" s="59" t="str">
        <f>IF(IF(AA463="En retard",1,IF(AA463="Action à définir",2,IF(AA463="Échéance manquante",3,IF(AA463="Échéance proche",4,IF(AA463="À réévaluer",5,0)))))=0,"",IF(AA463="En retard",1,IF(AA463="Action à définir",2,IF(AA463="Échéance manquante",3,IF(AA463="Échéance proche",4,IF(AA463="À réévaluer",5,0)))))*100000000+IF(N(Q463)&gt;0,Q463,99999)*1000+ROW())</f>
        <v/>
      </c>
      <c r="AF463" s="59" t="str">
        <f>IF(X463&lt;&gt;"",X463,L463)</f>
        <v/>
      </c>
      <c r="AG463" s="59" t="str">
        <f>IF(X463&lt;&gt;"",Y463,IF(L463&lt;&gt;"",M463,""))</f>
        <v/>
      </c>
      <c r="AH463" s="59" t="str">
        <f>IF(L463="","",IF(X463&lt;&gt;"",U463,F463))</f>
        <v/>
      </c>
      <c r="AI463" s="59" t="str">
        <f>IF(L463="","",IF(X463&lt;&gt;"",V463,H463))</f>
        <v/>
      </c>
    </row>
    <row r="464" ht="30" customHeight="1">
      <c r="A464" s="50" t="n"/>
      <c r="B464" s="51" t="n"/>
      <c r="C464" s="51" t="n"/>
      <c r="D464" s="51" t="n"/>
      <c r="E464" s="51" t="n"/>
      <c r="F464" s="52" t="n"/>
      <c r="G464" s="51" t="n"/>
      <c r="H464" s="52" t="n"/>
      <c r="I464" s="51" t="n"/>
      <c r="J464" s="51" t="n"/>
      <c r="K464" s="52" t="n"/>
      <c r="L464" s="53" t="str">
        <f>IF(AND(IF(ISNUMBER(F464),AND(F464&gt;=1,F464&lt;=10,F464=INT(F464)),FALSE),IF(ISNUMBER(H464),AND(H464&gt;=1,H464&lt;=10,H464=INT(H464)),FALSE),IF(ISNUMBER(K464),AND(K464&gt;=1,K464&lt;=10,K464=INT(K464)),FALSE)),F464*H464*K464,"")</f>
        <v/>
      </c>
      <c r="M464" s="54" t="str">
        <f>IF(L464="",IF(D464="","","À coter"),IF(OR(F464&gt;=p_gmin,L464&gt;=p_ipr_crit),"Critique",IF(L464&gt;=p_ipr_act,"Élevée",IF(L464&gt;=p_ipr_watch,"Moyenne","Faible"))))</f>
        <v/>
      </c>
      <c r="N464" s="54" t="str">
        <f>IF(OR(M464="",M464="À coter"),"",IF(OR(M464="Critique",M464="Élevée"),"Oui","Non"))</f>
        <v/>
      </c>
      <c r="O464" s="51" t="n"/>
      <c r="P464" s="51" t="n"/>
      <c r="Q464" s="55" t="n"/>
      <c r="R464" s="50" t="n"/>
      <c r="S464" s="55" t="n"/>
      <c r="T464" s="56" t="n"/>
      <c r="U464" s="52" t="n"/>
      <c r="V464" s="52" t="n"/>
      <c r="W464" s="52" t="n"/>
      <c r="X464" s="53" t="str">
        <f>IF(AND(L464&lt;&gt;"",IF(ISNUMBER(U464),AND(U464&gt;=1,U464&lt;=10,U464=INT(U464)),FALSE),IF(ISNUMBER(V464),AND(V464&gt;=1,V464&lt;=10,V464=INT(V464)),FALSE),IF(ISNUMBER(W464),AND(W464&gt;=1,W464&lt;=10,W464=INT(W464)),FALSE)),U464*V464*W464,"")</f>
        <v/>
      </c>
      <c r="Y464" s="54" t="str">
        <f>IF(X464="","",IF(OR(U464&gt;=p_gmin,X464&gt;=p_ipr_crit),"Critique",IF(X464&gt;=p_ipr_act,"Élevée",IF(X464&gt;=p_ipr_watch,"Moyenne","Faible"))))</f>
        <v/>
      </c>
      <c r="Z464" s="57" t="str">
        <f>IF(X464="","",(L464-X464)/L464)</f>
        <v/>
      </c>
      <c r="AA464" s="54" t="str">
        <f>IF(AND(D464="",O464=""),"",IF(O464="",IF(N464="Oui","Action à définir",IF(N464="Non","Sans action","")),IF(R464="Annulée","Annulée",IF(R464="Réalisée",IF(X464="","À réévaluer","Réalisée"),IF(N(Q464)=0,"Échéance manquante",IF(Q464&lt;p_today,"En retard",IF(Q464-p_today&lt;=p_alert,"Échéance proche","Dans les délais")))))))</f>
        <v/>
      </c>
      <c r="AB464" s="58" t="str">
        <f>IF(AND(A464="",B464="",D464="",F464="",H464="",K464="",O464=""),"",IF(D464="","Mode de défaillance manquant",IF(AND(A464&lt;&gt;"",COUNTIF(am_num,A464)&gt;1),"N° en double",IF(F464="","Gravité G manquante",IF(NOT(IF(ISNUMBER(F464),AND(F464&gt;=1,F464&lt;=10,F464=INT(F464)),FALSE)),"G : entier de 1 à 10",IF(H464="","Occurrence O manquante",IF(NOT(IF(ISNUMBER(H464),AND(H464&gt;=1,H464&lt;=10,H464=INT(H464)),FALSE)),"O : entier de 1 à 10",IF(K464="","Détection D manquante",IF(NOT(IF(ISNUMBER(K464),AND(K464&gt;=1,K464&lt;=10,K464=INT(K464)),FALSE)),"D : entier de 1 à 10",IF(G464="","Cause manquante",IF(AND(O464&lt;&gt;"",P464=""),"Responsable manquant",IF(AND(R464&lt;&gt;"",O464=""),"Statut sans action",IF(AND(R464="Réalisée",N(S464)=0),"Date de réalisation manquante",IF(AND(T464&lt;&gt;"",IF(ISNUMBER(T464),T464&lt;0,TRUE)),"Coût invalide",IF(AND(COUNTBLANK(U464:W464)&gt;0,COUNTBLANK(U464:W464)&lt;3),"Cotation après action incomplète",IF(AND(COUNTBLANK(U464:W464)=0,X464=""),"G', O', D' : entiers de 1 à 10",IF(AND(X464&lt;&gt;"",X464&gt;L464),"IPR après action plus élevé","OK")))))))))))))))))</f>
        <v/>
      </c>
      <c r="AC464" s="59" t="str">
        <f>IF(OR(AA464="En retard",AA464="Échéance proche",AA464="Dans les délais",AA464="Échéance manquante",AA464="Action à définir",AA464="À réévaluer"),IF(OR(plan_who="",P464=plan_who),IF(N(Q464)&gt;0,Q464,99999)*1000+ROW(),""),"")</f>
        <v/>
      </c>
      <c r="AD464" s="59" t="str">
        <f>IF(L464="","",L464*1000+1000-ROW())</f>
        <v/>
      </c>
      <c r="AE464" s="59" t="str">
        <f>IF(IF(AA464="En retard",1,IF(AA464="Action à définir",2,IF(AA464="Échéance manquante",3,IF(AA464="Échéance proche",4,IF(AA464="À réévaluer",5,0)))))=0,"",IF(AA464="En retard",1,IF(AA464="Action à définir",2,IF(AA464="Échéance manquante",3,IF(AA464="Échéance proche",4,IF(AA464="À réévaluer",5,0)))))*100000000+IF(N(Q464)&gt;0,Q464,99999)*1000+ROW())</f>
        <v/>
      </c>
      <c r="AF464" s="59" t="str">
        <f>IF(X464&lt;&gt;"",X464,L464)</f>
        <v/>
      </c>
      <c r="AG464" s="59" t="str">
        <f>IF(X464&lt;&gt;"",Y464,IF(L464&lt;&gt;"",M464,""))</f>
        <v/>
      </c>
      <c r="AH464" s="59" t="str">
        <f>IF(L464="","",IF(X464&lt;&gt;"",U464,F464))</f>
        <v/>
      </c>
      <c r="AI464" s="59" t="str">
        <f>IF(L464="","",IF(X464&lt;&gt;"",V464,H464))</f>
        <v/>
      </c>
    </row>
    <row r="465" ht="30" customHeight="1">
      <c r="A465" s="50" t="n"/>
      <c r="B465" s="51" t="n"/>
      <c r="C465" s="51" t="n"/>
      <c r="D465" s="51" t="n"/>
      <c r="E465" s="51" t="n"/>
      <c r="F465" s="52" t="n"/>
      <c r="G465" s="51" t="n"/>
      <c r="H465" s="52" t="n"/>
      <c r="I465" s="51" t="n"/>
      <c r="J465" s="51" t="n"/>
      <c r="K465" s="52" t="n"/>
      <c r="L465" s="53" t="str">
        <f>IF(AND(IF(ISNUMBER(F465),AND(F465&gt;=1,F465&lt;=10,F465=INT(F465)),FALSE),IF(ISNUMBER(H465),AND(H465&gt;=1,H465&lt;=10,H465=INT(H465)),FALSE),IF(ISNUMBER(K465),AND(K465&gt;=1,K465&lt;=10,K465=INT(K465)),FALSE)),F465*H465*K465,"")</f>
        <v/>
      </c>
      <c r="M465" s="54" t="str">
        <f>IF(L465="",IF(D465="","","À coter"),IF(OR(F465&gt;=p_gmin,L465&gt;=p_ipr_crit),"Critique",IF(L465&gt;=p_ipr_act,"Élevée",IF(L465&gt;=p_ipr_watch,"Moyenne","Faible"))))</f>
        <v/>
      </c>
      <c r="N465" s="54" t="str">
        <f>IF(OR(M465="",M465="À coter"),"",IF(OR(M465="Critique",M465="Élevée"),"Oui","Non"))</f>
        <v/>
      </c>
      <c r="O465" s="51" t="n"/>
      <c r="P465" s="51" t="n"/>
      <c r="Q465" s="55" t="n"/>
      <c r="R465" s="50" t="n"/>
      <c r="S465" s="55" t="n"/>
      <c r="T465" s="56" t="n"/>
      <c r="U465" s="52" t="n"/>
      <c r="V465" s="52" t="n"/>
      <c r="W465" s="52" t="n"/>
      <c r="X465" s="53" t="str">
        <f>IF(AND(L465&lt;&gt;"",IF(ISNUMBER(U465),AND(U465&gt;=1,U465&lt;=10,U465=INT(U465)),FALSE),IF(ISNUMBER(V465),AND(V465&gt;=1,V465&lt;=10,V465=INT(V465)),FALSE),IF(ISNUMBER(W465),AND(W465&gt;=1,W465&lt;=10,W465=INT(W465)),FALSE)),U465*V465*W465,"")</f>
        <v/>
      </c>
      <c r="Y465" s="54" t="str">
        <f>IF(X465="","",IF(OR(U465&gt;=p_gmin,X465&gt;=p_ipr_crit),"Critique",IF(X465&gt;=p_ipr_act,"Élevée",IF(X465&gt;=p_ipr_watch,"Moyenne","Faible"))))</f>
        <v/>
      </c>
      <c r="Z465" s="57" t="str">
        <f>IF(X465="","",(L465-X465)/L465)</f>
        <v/>
      </c>
      <c r="AA465" s="54" t="str">
        <f>IF(AND(D465="",O465=""),"",IF(O465="",IF(N465="Oui","Action à définir",IF(N465="Non","Sans action","")),IF(R465="Annulée","Annulée",IF(R465="Réalisée",IF(X465="","À réévaluer","Réalisée"),IF(N(Q465)=0,"Échéance manquante",IF(Q465&lt;p_today,"En retard",IF(Q465-p_today&lt;=p_alert,"Échéance proche","Dans les délais")))))))</f>
        <v/>
      </c>
      <c r="AB465" s="58" t="str">
        <f>IF(AND(A465="",B465="",D465="",F465="",H465="",K465="",O465=""),"",IF(D465="","Mode de défaillance manquant",IF(AND(A465&lt;&gt;"",COUNTIF(am_num,A465)&gt;1),"N° en double",IF(F465="","Gravité G manquante",IF(NOT(IF(ISNUMBER(F465),AND(F465&gt;=1,F465&lt;=10,F465=INT(F465)),FALSE)),"G : entier de 1 à 10",IF(H465="","Occurrence O manquante",IF(NOT(IF(ISNUMBER(H465),AND(H465&gt;=1,H465&lt;=10,H465=INT(H465)),FALSE)),"O : entier de 1 à 10",IF(K465="","Détection D manquante",IF(NOT(IF(ISNUMBER(K465),AND(K465&gt;=1,K465&lt;=10,K465=INT(K465)),FALSE)),"D : entier de 1 à 10",IF(G465="","Cause manquante",IF(AND(O465&lt;&gt;"",P465=""),"Responsable manquant",IF(AND(R465&lt;&gt;"",O465=""),"Statut sans action",IF(AND(R465="Réalisée",N(S465)=0),"Date de réalisation manquante",IF(AND(T465&lt;&gt;"",IF(ISNUMBER(T465),T465&lt;0,TRUE)),"Coût invalide",IF(AND(COUNTBLANK(U465:W465)&gt;0,COUNTBLANK(U465:W465)&lt;3),"Cotation après action incomplète",IF(AND(COUNTBLANK(U465:W465)=0,X465=""),"G', O', D' : entiers de 1 à 10",IF(AND(X465&lt;&gt;"",X465&gt;L465),"IPR après action plus élevé","OK")))))))))))))))))</f>
        <v/>
      </c>
      <c r="AC465" s="59" t="str">
        <f>IF(OR(AA465="En retard",AA465="Échéance proche",AA465="Dans les délais",AA465="Échéance manquante",AA465="Action à définir",AA465="À réévaluer"),IF(OR(plan_who="",P465=plan_who),IF(N(Q465)&gt;0,Q465,99999)*1000+ROW(),""),"")</f>
        <v/>
      </c>
      <c r="AD465" s="59" t="str">
        <f>IF(L465="","",L465*1000+1000-ROW())</f>
        <v/>
      </c>
      <c r="AE465" s="59" t="str">
        <f>IF(IF(AA465="En retard",1,IF(AA465="Action à définir",2,IF(AA465="Échéance manquante",3,IF(AA465="Échéance proche",4,IF(AA465="À réévaluer",5,0)))))=0,"",IF(AA465="En retard",1,IF(AA465="Action à définir",2,IF(AA465="Échéance manquante",3,IF(AA465="Échéance proche",4,IF(AA465="À réévaluer",5,0)))))*100000000+IF(N(Q465)&gt;0,Q465,99999)*1000+ROW())</f>
        <v/>
      </c>
      <c r="AF465" s="59" t="str">
        <f>IF(X465&lt;&gt;"",X465,L465)</f>
        <v/>
      </c>
      <c r="AG465" s="59" t="str">
        <f>IF(X465&lt;&gt;"",Y465,IF(L465&lt;&gt;"",M465,""))</f>
        <v/>
      </c>
      <c r="AH465" s="59" t="str">
        <f>IF(L465="","",IF(X465&lt;&gt;"",U465,F465))</f>
        <v/>
      </c>
      <c r="AI465" s="59" t="str">
        <f>IF(L465="","",IF(X465&lt;&gt;"",V465,H465))</f>
        <v/>
      </c>
    </row>
    <row r="466" ht="30" customHeight="1">
      <c r="A466" s="50" t="n"/>
      <c r="B466" s="51" t="n"/>
      <c r="C466" s="51" t="n"/>
      <c r="D466" s="51" t="n"/>
      <c r="E466" s="51" t="n"/>
      <c r="F466" s="52" t="n"/>
      <c r="G466" s="51" t="n"/>
      <c r="H466" s="52" t="n"/>
      <c r="I466" s="51" t="n"/>
      <c r="J466" s="51" t="n"/>
      <c r="K466" s="52" t="n"/>
      <c r="L466" s="53" t="str">
        <f>IF(AND(IF(ISNUMBER(F466),AND(F466&gt;=1,F466&lt;=10,F466=INT(F466)),FALSE),IF(ISNUMBER(H466),AND(H466&gt;=1,H466&lt;=10,H466=INT(H466)),FALSE),IF(ISNUMBER(K466),AND(K466&gt;=1,K466&lt;=10,K466=INT(K466)),FALSE)),F466*H466*K466,"")</f>
        <v/>
      </c>
      <c r="M466" s="54" t="str">
        <f>IF(L466="",IF(D466="","","À coter"),IF(OR(F466&gt;=p_gmin,L466&gt;=p_ipr_crit),"Critique",IF(L466&gt;=p_ipr_act,"Élevée",IF(L466&gt;=p_ipr_watch,"Moyenne","Faible"))))</f>
        <v/>
      </c>
      <c r="N466" s="54" t="str">
        <f>IF(OR(M466="",M466="À coter"),"",IF(OR(M466="Critique",M466="Élevée"),"Oui","Non"))</f>
        <v/>
      </c>
      <c r="O466" s="51" t="n"/>
      <c r="P466" s="51" t="n"/>
      <c r="Q466" s="55" t="n"/>
      <c r="R466" s="50" t="n"/>
      <c r="S466" s="55" t="n"/>
      <c r="T466" s="56" t="n"/>
      <c r="U466" s="52" t="n"/>
      <c r="V466" s="52" t="n"/>
      <c r="W466" s="52" t="n"/>
      <c r="X466" s="53" t="str">
        <f>IF(AND(L466&lt;&gt;"",IF(ISNUMBER(U466),AND(U466&gt;=1,U466&lt;=10,U466=INT(U466)),FALSE),IF(ISNUMBER(V466),AND(V466&gt;=1,V466&lt;=10,V466=INT(V466)),FALSE),IF(ISNUMBER(W466),AND(W466&gt;=1,W466&lt;=10,W466=INT(W466)),FALSE)),U466*V466*W466,"")</f>
        <v/>
      </c>
      <c r="Y466" s="54" t="str">
        <f>IF(X466="","",IF(OR(U466&gt;=p_gmin,X466&gt;=p_ipr_crit),"Critique",IF(X466&gt;=p_ipr_act,"Élevée",IF(X466&gt;=p_ipr_watch,"Moyenne","Faible"))))</f>
        <v/>
      </c>
      <c r="Z466" s="57" t="str">
        <f>IF(X466="","",(L466-X466)/L466)</f>
        <v/>
      </c>
      <c r="AA466" s="54" t="str">
        <f>IF(AND(D466="",O466=""),"",IF(O466="",IF(N466="Oui","Action à définir",IF(N466="Non","Sans action","")),IF(R466="Annulée","Annulée",IF(R466="Réalisée",IF(X466="","À réévaluer","Réalisée"),IF(N(Q466)=0,"Échéance manquante",IF(Q466&lt;p_today,"En retard",IF(Q466-p_today&lt;=p_alert,"Échéance proche","Dans les délais")))))))</f>
        <v/>
      </c>
      <c r="AB466" s="58" t="str">
        <f>IF(AND(A466="",B466="",D466="",F466="",H466="",K466="",O466=""),"",IF(D466="","Mode de défaillance manquant",IF(AND(A466&lt;&gt;"",COUNTIF(am_num,A466)&gt;1),"N° en double",IF(F466="","Gravité G manquante",IF(NOT(IF(ISNUMBER(F466),AND(F466&gt;=1,F466&lt;=10,F466=INT(F466)),FALSE)),"G : entier de 1 à 10",IF(H466="","Occurrence O manquante",IF(NOT(IF(ISNUMBER(H466),AND(H466&gt;=1,H466&lt;=10,H466=INT(H466)),FALSE)),"O : entier de 1 à 10",IF(K466="","Détection D manquante",IF(NOT(IF(ISNUMBER(K466),AND(K466&gt;=1,K466&lt;=10,K466=INT(K466)),FALSE)),"D : entier de 1 à 10",IF(G466="","Cause manquante",IF(AND(O466&lt;&gt;"",P466=""),"Responsable manquant",IF(AND(R466&lt;&gt;"",O466=""),"Statut sans action",IF(AND(R466="Réalisée",N(S466)=0),"Date de réalisation manquante",IF(AND(T466&lt;&gt;"",IF(ISNUMBER(T466),T466&lt;0,TRUE)),"Coût invalide",IF(AND(COUNTBLANK(U466:W466)&gt;0,COUNTBLANK(U466:W466)&lt;3),"Cotation après action incomplète",IF(AND(COUNTBLANK(U466:W466)=0,X466=""),"G', O', D' : entiers de 1 à 10",IF(AND(X466&lt;&gt;"",X466&gt;L466),"IPR après action plus élevé","OK")))))))))))))))))</f>
        <v/>
      </c>
      <c r="AC466" s="59" t="str">
        <f>IF(OR(AA466="En retard",AA466="Échéance proche",AA466="Dans les délais",AA466="Échéance manquante",AA466="Action à définir",AA466="À réévaluer"),IF(OR(plan_who="",P466=plan_who),IF(N(Q466)&gt;0,Q466,99999)*1000+ROW(),""),"")</f>
        <v/>
      </c>
      <c r="AD466" s="59" t="str">
        <f>IF(L466="","",L466*1000+1000-ROW())</f>
        <v/>
      </c>
      <c r="AE466" s="59" t="str">
        <f>IF(IF(AA466="En retard",1,IF(AA466="Action à définir",2,IF(AA466="Échéance manquante",3,IF(AA466="Échéance proche",4,IF(AA466="À réévaluer",5,0)))))=0,"",IF(AA466="En retard",1,IF(AA466="Action à définir",2,IF(AA466="Échéance manquante",3,IF(AA466="Échéance proche",4,IF(AA466="À réévaluer",5,0)))))*100000000+IF(N(Q466)&gt;0,Q466,99999)*1000+ROW())</f>
        <v/>
      </c>
      <c r="AF466" s="59" t="str">
        <f>IF(X466&lt;&gt;"",X466,L466)</f>
        <v/>
      </c>
      <c r="AG466" s="59" t="str">
        <f>IF(X466&lt;&gt;"",Y466,IF(L466&lt;&gt;"",M466,""))</f>
        <v/>
      </c>
      <c r="AH466" s="59" t="str">
        <f>IF(L466="","",IF(X466&lt;&gt;"",U466,F466))</f>
        <v/>
      </c>
      <c r="AI466" s="59" t="str">
        <f>IF(L466="","",IF(X466&lt;&gt;"",V466,H466))</f>
        <v/>
      </c>
    </row>
    <row r="467" ht="30" customHeight="1">
      <c r="A467" s="50" t="n"/>
      <c r="B467" s="51" t="n"/>
      <c r="C467" s="51" t="n"/>
      <c r="D467" s="51" t="n"/>
      <c r="E467" s="51" t="n"/>
      <c r="F467" s="52" t="n"/>
      <c r="G467" s="51" t="n"/>
      <c r="H467" s="52" t="n"/>
      <c r="I467" s="51" t="n"/>
      <c r="J467" s="51" t="n"/>
      <c r="K467" s="52" t="n"/>
      <c r="L467" s="53" t="str">
        <f>IF(AND(IF(ISNUMBER(F467),AND(F467&gt;=1,F467&lt;=10,F467=INT(F467)),FALSE),IF(ISNUMBER(H467),AND(H467&gt;=1,H467&lt;=10,H467=INT(H467)),FALSE),IF(ISNUMBER(K467),AND(K467&gt;=1,K467&lt;=10,K467=INT(K467)),FALSE)),F467*H467*K467,"")</f>
        <v/>
      </c>
      <c r="M467" s="54" t="str">
        <f>IF(L467="",IF(D467="","","À coter"),IF(OR(F467&gt;=p_gmin,L467&gt;=p_ipr_crit),"Critique",IF(L467&gt;=p_ipr_act,"Élevée",IF(L467&gt;=p_ipr_watch,"Moyenne","Faible"))))</f>
        <v/>
      </c>
      <c r="N467" s="54" t="str">
        <f>IF(OR(M467="",M467="À coter"),"",IF(OR(M467="Critique",M467="Élevée"),"Oui","Non"))</f>
        <v/>
      </c>
      <c r="O467" s="51" t="n"/>
      <c r="P467" s="51" t="n"/>
      <c r="Q467" s="55" t="n"/>
      <c r="R467" s="50" t="n"/>
      <c r="S467" s="55" t="n"/>
      <c r="T467" s="56" t="n"/>
      <c r="U467" s="52" t="n"/>
      <c r="V467" s="52" t="n"/>
      <c r="W467" s="52" t="n"/>
      <c r="X467" s="53" t="str">
        <f>IF(AND(L467&lt;&gt;"",IF(ISNUMBER(U467),AND(U467&gt;=1,U467&lt;=10,U467=INT(U467)),FALSE),IF(ISNUMBER(V467),AND(V467&gt;=1,V467&lt;=10,V467=INT(V467)),FALSE),IF(ISNUMBER(W467),AND(W467&gt;=1,W467&lt;=10,W467=INT(W467)),FALSE)),U467*V467*W467,"")</f>
        <v/>
      </c>
      <c r="Y467" s="54" t="str">
        <f>IF(X467="","",IF(OR(U467&gt;=p_gmin,X467&gt;=p_ipr_crit),"Critique",IF(X467&gt;=p_ipr_act,"Élevée",IF(X467&gt;=p_ipr_watch,"Moyenne","Faible"))))</f>
        <v/>
      </c>
      <c r="Z467" s="57" t="str">
        <f>IF(X467="","",(L467-X467)/L467)</f>
        <v/>
      </c>
      <c r="AA467" s="54" t="str">
        <f>IF(AND(D467="",O467=""),"",IF(O467="",IF(N467="Oui","Action à définir",IF(N467="Non","Sans action","")),IF(R467="Annulée","Annulée",IF(R467="Réalisée",IF(X467="","À réévaluer","Réalisée"),IF(N(Q467)=0,"Échéance manquante",IF(Q467&lt;p_today,"En retard",IF(Q467-p_today&lt;=p_alert,"Échéance proche","Dans les délais")))))))</f>
        <v/>
      </c>
      <c r="AB467" s="58" t="str">
        <f>IF(AND(A467="",B467="",D467="",F467="",H467="",K467="",O467=""),"",IF(D467="","Mode de défaillance manquant",IF(AND(A467&lt;&gt;"",COUNTIF(am_num,A467)&gt;1),"N° en double",IF(F467="","Gravité G manquante",IF(NOT(IF(ISNUMBER(F467),AND(F467&gt;=1,F467&lt;=10,F467=INT(F467)),FALSE)),"G : entier de 1 à 10",IF(H467="","Occurrence O manquante",IF(NOT(IF(ISNUMBER(H467),AND(H467&gt;=1,H467&lt;=10,H467=INT(H467)),FALSE)),"O : entier de 1 à 10",IF(K467="","Détection D manquante",IF(NOT(IF(ISNUMBER(K467),AND(K467&gt;=1,K467&lt;=10,K467=INT(K467)),FALSE)),"D : entier de 1 à 10",IF(G467="","Cause manquante",IF(AND(O467&lt;&gt;"",P467=""),"Responsable manquant",IF(AND(R467&lt;&gt;"",O467=""),"Statut sans action",IF(AND(R467="Réalisée",N(S467)=0),"Date de réalisation manquante",IF(AND(T467&lt;&gt;"",IF(ISNUMBER(T467),T467&lt;0,TRUE)),"Coût invalide",IF(AND(COUNTBLANK(U467:W467)&gt;0,COUNTBLANK(U467:W467)&lt;3),"Cotation après action incomplète",IF(AND(COUNTBLANK(U467:W467)=0,X467=""),"G', O', D' : entiers de 1 à 10",IF(AND(X467&lt;&gt;"",X467&gt;L467),"IPR après action plus élevé","OK")))))))))))))))))</f>
        <v/>
      </c>
      <c r="AC467" s="59" t="str">
        <f>IF(OR(AA467="En retard",AA467="Échéance proche",AA467="Dans les délais",AA467="Échéance manquante",AA467="Action à définir",AA467="À réévaluer"),IF(OR(plan_who="",P467=plan_who),IF(N(Q467)&gt;0,Q467,99999)*1000+ROW(),""),"")</f>
        <v/>
      </c>
      <c r="AD467" s="59" t="str">
        <f>IF(L467="","",L467*1000+1000-ROW())</f>
        <v/>
      </c>
      <c r="AE467" s="59" t="str">
        <f>IF(IF(AA467="En retard",1,IF(AA467="Action à définir",2,IF(AA467="Échéance manquante",3,IF(AA467="Échéance proche",4,IF(AA467="À réévaluer",5,0)))))=0,"",IF(AA467="En retard",1,IF(AA467="Action à définir",2,IF(AA467="Échéance manquante",3,IF(AA467="Échéance proche",4,IF(AA467="À réévaluer",5,0)))))*100000000+IF(N(Q467)&gt;0,Q467,99999)*1000+ROW())</f>
        <v/>
      </c>
      <c r="AF467" s="59" t="str">
        <f>IF(X467&lt;&gt;"",X467,L467)</f>
        <v/>
      </c>
      <c r="AG467" s="59" t="str">
        <f>IF(X467&lt;&gt;"",Y467,IF(L467&lt;&gt;"",M467,""))</f>
        <v/>
      </c>
      <c r="AH467" s="59" t="str">
        <f>IF(L467="","",IF(X467&lt;&gt;"",U467,F467))</f>
        <v/>
      </c>
      <c r="AI467" s="59" t="str">
        <f>IF(L467="","",IF(X467&lt;&gt;"",V467,H467))</f>
        <v/>
      </c>
    </row>
    <row r="468" ht="30" customHeight="1">
      <c r="A468" s="50" t="n"/>
      <c r="B468" s="51" t="n"/>
      <c r="C468" s="51" t="n"/>
      <c r="D468" s="51" t="n"/>
      <c r="E468" s="51" t="n"/>
      <c r="F468" s="52" t="n"/>
      <c r="G468" s="51" t="n"/>
      <c r="H468" s="52" t="n"/>
      <c r="I468" s="51" t="n"/>
      <c r="J468" s="51" t="n"/>
      <c r="K468" s="52" t="n"/>
      <c r="L468" s="53" t="str">
        <f>IF(AND(IF(ISNUMBER(F468),AND(F468&gt;=1,F468&lt;=10,F468=INT(F468)),FALSE),IF(ISNUMBER(H468),AND(H468&gt;=1,H468&lt;=10,H468=INT(H468)),FALSE),IF(ISNUMBER(K468),AND(K468&gt;=1,K468&lt;=10,K468=INT(K468)),FALSE)),F468*H468*K468,"")</f>
        <v/>
      </c>
      <c r="M468" s="54" t="str">
        <f>IF(L468="",IF(D468="","","À coter"),IF(OR(F468&gt;=p_gmin,L468&gt;=p_ipr_crit),"Critique",IF(L468&gt;=p_ipr_act,"Élevée",IF(L468&gt;=p_ipr_watch,"Moyenne","Faible"))))</f>
        <v/>
      </c>
      <c r="N468" s="54" t="str">
        <f>IF(OR(M468="",M468="À coter"),"",IF(OR(M468="Critique",M468="Élevée"),"Oui","Non"))</f>
        <v/>
      </c>
      <c r="O468" s="51" t="n"/>
      <c r="P468" s="51" t="n"/>
      <c r="Q468" s="55" t="n"/>
      <c r="R468" s="50" t="n"/>
      <c r="S468" s="55" t="n"/>
      <c r="T468" s="56" t="n"/>
      <c r="U468" s="52" t="n"/>
      <c r="V468" s="52" t="n"/>
      <c r="W468" s="52" t="n"/>
      <c r="X468" s="53" t="str">
        <f>IF(AND(L468&lt;&gt;"",IF(ISNUMBER(U468),AND(U468&gt;=1,U468&lt;=10,U468=INT(U468)),FALSE),IF(ISNUMBER(V468),AND(V468&gt;=1,V468&lt;=10,V468=INT(V468)),FALSE),IF(ISNUMBER(W468),AND(W468&gt;=1,W468&lt;=10,W468=INT(W468)),FALSE)),U468*V468*W468,"")</f>
        <v/>
      </c>
      <c r="Y468" s="54" t="str">
        <f>IF(X468="","",IF(OR(U468&gt;=p_gmin,X468&gt;=p_ipr_crit),"Critique",IF(X468&gt;=p_ipr_act,"Élevée",IF(X468&gt;=p_ipr_watch,"Moyenne","Faible"))))</f>
        <v/>
      </c>
      <c r="Z468" s="57" t="str">
        <f>IF(X468="","",(L468-X468)/L468)</f>
        <v/>
      </c>
      <c r="AA468" s="54" t="str">
        <f>IF(AND(D468="",O468=""),"",IF(O468="",IF(N468="Oui","Action à définir",IF(N468="Non","Sans action","")),IF(R468="Annulée","Annulée",IF(R468="Réalisée",IF(X468="","À réévaluer","Réalisée"),IF(N(Q468)=0,"Échéance manquante",IF(Q468&lt;p_today,"En retard",IF(Q468-p_today&lt;=p_alert,"Échéance proche","Dans les délais")))))))</f>
        <v/>
      </c>
      <c r="AB468" s="58" t="str">
        <f>IF(AND(A468="",B468="",D468="",F468="",H468="",K468="",O468=""),"",IF(D468="","Mode de défaillance manquant",IF(AND(A468&lt;&gt;"",COUNTIF(am_num,A468)&gt;1),"N° en double",IF(F468="","Gravité G manquante",IF(NOT(IF(ISNUMBER(F468),AND(F468&gt;=1,F468&lt;=10,F468=INT(F468)),FALSE)),"G : entier de 1 à 10",IF(H468="","Occurrence O manquante",IF(NOT(IF(ISNUMBER(H468),AND(H468&gt;=1,H468&lt;=10,H468=INT(H468)),FALSE)),"O : entier de 1 à 10",IF(K468="","Détection D manquante",IF(NOT(IF(ISNUMBER(K468),AND(K468&gt;=1,K468&lt;=10,K468=INT(K468)),FALSE)),"D : entier de 1 à 10",IF(G468="","Cause manquante",IF(AND(O468&lt;&gt;"",P468=""),"Responsable manquant",IF(AND(R468&lt;&gt;"",O468=""),"Statut sans action",IF(AND(R468="Réalisée",N(S468)=0),"Date de réalisation manquante",IF(AND(T468&lt;&gt;"",IF(ISNUMBER(T468),T468&lt;0,TRUE)),"Coût invalide",IF(AND(COUNTBLANK(U468:W468)&gt;0,COUNTBLANK(U468:W468)&lt;3),"Cotation après action incomplète",IF(AND(COUNTBLANK(U468:W468)=0,X468=""),"G', O', D' : entiers de 1 à 10",IF(AND(X468&lt;&gt;"",X468&gt;L468),"IPR après action plus élevé","OK")))))))))))))))))</f>
        <v/>
      </c>
      <c r="AC468" s="59" t="str">
        <f>IF(OR(AA468="En retard",AA468="Échéance proche",AA468="Dans les délais",AA468="Échéance manquante",AA468="Action à définir",AA468="À réévaluer"),IF(OR(plan_who="",P468=plan_who),IF(N(Q468)&gt;0,Q468,99999)*1000+ROW(),""),"")</f>
        <v/>
      </c>
      <c r="AD468" s="59" t="str">
        <f>IF(L468="","",L468*1000+1000-ROW())</f>
        <v/>
      </c>
      <c r="AE468" s="59" t="str">
        <f>IF(IF(AA468="En retard",1,IF(AA468="Action à définir",2,IF(AA468="Échéance manquante",3,IF(AA468="Échéance proche",4,IF(AA468="À réévaluer",5,0)))))=0,"",IF(AA468="En retard",1,IF(AA468="Action à définir",2,IF(AA468="Échéance manquante",3,IF(AA468="Échéance proche",4,IF(AA468="À réévaluer",5,0)))))*100000000+IF(N(Q468)&gt;0,Q468,99999)*1000+ROW())</f>
        <v/>
      </c>
      <c r="AF468" s="59" t="str">
        <f>IF(X468&lt;&gt;"",X468,L468)</f>
        <v/>
      </c>
      <c r="AG468" s="59" t="str">
        <f>IF(X468&lt;&gt;"",Y468,IF(L468&lt;&gt;"",M468,""))</f>
        <v/>
      </c>
      <c r="AH468" s="59" t="str">
        <f>IF(L468="","",IF(X468&lt;&gt;"",U468,F468))</f>
        <v/>
      </c>
      <c r="AI468" s="59" t="str">
        <f>IF(L468="","",IF(X468&lt;&gt;"",V468,H468))</f>
        <v/>
      </c>
    </row>
    <row r="469" ht="30" customHeight="1">
      <c r="A469" s="50" t="n"/>
      <c r="B469" s="51" t="n"/>
      <c r="C469" s="51" t="n"/>
      <c r="D469" s="51" t="n"/>
      <c r="E469" s="51" t="n"/>
      <c r="F469" s="52" t="n"/>
      <c r="G469" s="51" t="n"/>
      <c r="H469" s="52" t="n"/>
      <c r="I469" s="51" t="n"/>
      <c r="J469" s="51" t="n"/>
      <c r="K469" s="52" t="n"/>
      <c r="L469" s="53" t="str">
        <f>IF(AND(IF(ISNUMBER(F469),AND(F469&gt;=1,F469&lt;=10,F469=INT(F469)),FALSE),IF(ISNUMBER(H469),AND(H469&gt;=1,H469&lt;=10,H469=INT(H469)),FALSE),IF(ISNUMBER(K469),AND(K469&gt;=1,K469&lt;=10,K469=INT(K469)),FALSE)),F469*H469*K469,"")</f>
        <v/>
      </c>
      <c r="M469" s="54" t="str">
        <f>IF(L469="",IF(D469="","","À coter"),IF(OR(F469&gt;=p_gmin,L469&gt;=p_ipr_crit),"Critique",IF(L469&gt;=p_ipr_act,"Élevée",IF(L469&gt;=p_ipr_watch,"Moyenne","Faible"))))</f>
        <v/>
      </c>
      <c r="N469" s="54" t="str">
        <f>IF(OR(M469="",M469="À coter"),"",IF(OR(M469="Critique",M469="Élevée"),"Oui","Non"))</f>
        <v/>
      </c>
      <c r="O469" s="51" t="n"/>
      <c r="P469" s="51" t="n"/>
      <c r="Q469" s="55" t="n"/>
      <c r="R469" s="50" t="n"/>
      <c r="S469" s="55" t="n"/>
      <c r="T469" s="56" t="n"/>
      <c r="U469" s="52" t="n"/>
      <c r="V469" s="52" t="n"/>
      <c r="W469" s="52" t="n"/>
      <c r="X469" s="53" t="str">
        <f>IF(AND(L469&lt;&gt;"",IF(ISNUMBER(U469),AND(U469&gt;=1,U469&lt;=10,U469=INT(U469)),FALSE),IF(ISNUMBER(V469),AND(V469&gt;=1,V469&lt;=10,V469=INT(V469)),FALSE),IF(ISNUMBER(W469),AND(W469&gt;=1,W469&lt;=10,W469=INT(W469)),FALSE)),U469*V469*W469,"")</f>
        <v/>
      </c>
      <c r="Y469" s="54" t="str">
        <f>IF(X469="","",IF(OR(U469&gt;=p_gmin,X469&gt;=p_ipr_crit),"Critique",IF(X469&gt;=p_ipr_act,"Élevée",IF(X469&gt;=p_ipr_watch,"Moyenne","Faible"))))</f>
        <v/>
      </c>
      <c r="Z469" s="57" t="str">
        <f>IF(X469="","",(L469-X469)/L469)</f>
        <v/>
      </c>
      <c r="AA469" s="54" t="str">
        <f>IF(AND(D469="",O469=""),"",IF(O469="",IF(N469="Oui","Action à définir",IF(N469="Non","Sans action","")),IF(R469="Annulée","Annulée",IF(R469="Réalisée",IF(X469="","À réévaluer","Réalisée"),IF(N(Q469)=0,"Échéance manquante",IF(Q469&lt;p_today,"En retard",IF(Q469-p_today&lt;=p_alert,"Échéance proche","Dans les délais")))))))</f>
        <v/>
      </c>
      <c r="AB469" s="58" t="str">
        <f>IF(AND(A469="",B469="",D469="",F469="",H469="",K469="",O469=""),"",IF(D469="","Mode de défaillance manquant",IF(AND(A469&lt;&gt;"",COUNTIF(am_num,A469)&gt;1),"N° en double",IF(F469="","Gravité G manquante",IF(NOT(IF(ISNUMBER(F469),AND(F469&gt;=1,F469&lt;=10,F469=INT(F469)),FALSE)),"G : entier de 1 à 10",IF(H469="","Occurrence O manquante",IF(NOT(IF(ISNUMBER(H469),AND(H469&gt;=1,H469&lt;=10,H469=INT(H469)),FALSE)),"O : entier de 1 à 10",IF(K469="","Détection D manquante",IF(NOT(IF(ISNUMBER(K469),AND(K469&gt;=1,K469&lt;=10,K469=INT(K469)),FALSE)),"D : entier de 1 à 10",IF(G469="","Cause manquante",IF(AND(O469&lt;&gt;"",P469=""),"Responsable manquant",IF(AND(R469&lt;&gt;"",O469=""),"Statut sans action",IF(AND(R469="Réalisée",N(S469)=0),"Date de réalisation manquante",IF(AND(T469&lt;&gt;"",IF(ISNUMBER(T469),T469&lt;0,TRUE)),"Coût invalide",IF(AND(COUNTBLANK(U469:W469)&gt;0,COUNTBLANK(U469:W469)&lt;3),"Cotation après action incomplète",IF(AND(COUNTBLANK(U469:W469)=0,X469=""),"G', O', D' : entiers de 1 à 10",IF(AND(X469&lt;&gt;"",X469&gt;L469),"IPR après action plus élevé","OK")))))))))))))))))</f>
        <v/>
      </c>
      <c r="AC469" s="59" t="str">
        <f>IF(OR(AA469="En retard",AA469="Échéance proche",AA469="Dans les délais",AA469="Échéance manquante",AA469="Action à définir",AA469="À réévaluer"),IF(OR(plan_who="",P469=plan_who),IF(N(Q469)&gt;0,Q469,99999)*1000+ROW(),""),"")</f>
        <v/>
      </c>
      <c r="AD469" s="59" t="str">
        <f>IF(L469="","",L469*1000+1000-ROW())</f>
        <v/>
      </c>
      <c r="AE469" s="59" t="str">
        <f>IF(IF(AA469="En retard",1,IF(AA469="Action à définir",2,IF(AA469="Échéance manquante",3,IF(AA469="Échéance proche",4,IF(AA469="À réévaluer",5,0)))))=0,"",IF(AA469="En retard",1,IF(AA469="Action à définir",2,IF(AA469="Échéance manquante",3,IF(AA469="Échéance proche",4,IF(AA469="À réévaluer",5,0)))))*100000000+IF(N(Q469)&gt;0,Q469,99999)*1000+ROW())</f>
        <v/>
      </c>
      <c r="AF469" s="59" t="str">
        <f>IF(X469&lt;&gt;"",X469,L469)</f>
        <v/>
      </c>
      <c r="AG469" s="59" t="str">
        <f>IF(X469&lt;&gt;"",Y469,IF(L469&lt;&gt;"",M469,""))</f>
        <v/>
      </c>
      <c r="AH469" s="59" t="str">
        <f>IF(L469="","",IF(X469&lt;&gt;"",U469,F469))</f>
        <v/>
      </c>
      <c r="AI469" s="59" t="str">
        <f>IF(L469="","",IF(X469&lt;&gt;"",V469,H469))</f>
        <v/>
      </c>
    </row>
    <row r="470" ht="30" customHeight="1">
      <c r="A470" s="50" t="n"/>
      <c r="B470" s="51" t="n"/>
      <c r="C470" s="51" t="n"/>
      <c r="D470" s="51" t="n"/>
      <c r="E470" s="51" t="n"/>
      <c r="F470" s="52" t="n"/>
      <c r="G470" s="51" t="n"/>
      <c r="H470" s="52" t="n"/>
      <c r="I470" s="51" t="n"/>
      <c r="J470" s="51" t="n"/>
      <c r="K470" s="52" t="n"/>
      <c r="L470" s="53" t="str">
        <f>IF(AND(IF(ISNUMBER(F470),AND(F470&gt;=1,F470&lt;=10,F470=INT(F470)),FALSE),IF(ISNUMBER(H470),AND(H470&gt;=1,H470&lt;=10,H470=INT(H470)),FALSE),IF(ISNUMBER(K470),AND(K470&gt;=1,K470&lt;=10,K470=INT(K470)),FALSE)),F470*H470*K470,"")</f>
        <v/>
      </c>
      <c r="M470" s="54" t="str">
        <f>IF(L470="",IF(D470="","","À coter"),IF(OR(F470&gt;=p_gmin,L470&gt;=p_ipr_crit),"Critique",IF(L470&gt;=p_ipr_act,"Élevée",IF(L470&gt;=p_ipr_watch,"Moyenne","Faible"))))</f>
        <v/>
      </c>
      <c r="N470" s="54" t="str">
        <f>IF(OR(M470="",M470="À coter"),"",IF(OR(M470="Critique",M470="Élevée"),"Oui","Non"))</f>
        <v/>
      </c>
      <c r="O470" s="51" t="n"/>
      <c r="P470" s="51" t="n"/>
      <c r="Q470" s="55" t="n"/>
      <c r="R470" s="50" t="n"/>
      <c r="S470" s="55" t="n"/>
      <c r="T470" s="56" t="n"/>
      <c r="U470" s="52" t="n"/>
      <c r="V470" s="52" t="n"/>
      <c r="W470" s="52" t="n"/>
      <c r="X470" s="53" t="str">
        <f>IF(AND(L470&lt;&gt;"",IF(ISNUMBER(U470),AND(U470&gt;=1,U470&lt;=10,U470=INT(U470)),FALSE),IF(ISNUMBER(V470),AND(V470&gt;=1,V470&lt;=10,V470=INT(V470)),FALSE),IF(ISNUMBER(W470),AND(W470&gt;=1,W470&lt;=10,W470=INT(W470)),FALSE)),U470*V470*W470,"")</f>
        <v/>
      </c>
      <c r="Y470" s="54" t="str">
        <f>IF(X470="","",IF(OR(U470&gt;=p_gmin,X470&gt;=p_ipr_crit),"Critique",IF(X470&gt;=p_ipr_act,"Élevée",IF(X470&gt;=p_ipr_watch,"Moyenne","Faible"))))</f>
        <v/>
      </c>
      <c r="Z470" s="57" t="str">
        <f>IF(X470="","",(L470-X470)/L470)</f>
        <v/>
      </c>
      <c r="AA470" s="54" t="str">
        <f>IF(AND(D470="",O470=""),"",IF(O470="",IF(N470="Oui","Action à définir",IF(N470="Non","Sans action","")),IF(R470="Annulée","Annulée",IF(R470="Réalisée",IF(X470="","À réévaluer","Réalisée"),IF(N(Q470)=0,"Échéance manquante",IF(Q470&lt;p_today,"En retard",IF(Q470-p_today&lt;=p_alert,"Échéance proche","Dans les délais")))))))</f>
        <v/>
      </c>
      <c r="AB470" s="58" t="str">
        <f>IF(AND(A470="",B470="",D470="",F470="",H470="",K470="",O470=""),"",IF(D470="","Mode de défaillance manquant",IF(AND(A470&lt;&gt;"",COUNTIF(am_num,A470)&gt;1),"N° en double",IF(F470="","Gravité G manquante",IF(NOT(IF(ISNUMBER(F470),AND(F470&gt;=1,F470&lt;=10,F470=INT(F470)),FALSE)),"G : entier de 1 à 10",IF(H470="","Occurrence O manquante",IF(NOT(IF(ISNUMBER(H470),AND(H470&gt;=1,H470&lt;=10,H470=INT(H470)),FALSE)),"O : entier de 1 à 10",IF(K470="","Détection D manquante",IF(NOT(IF(ISNUMBER(K470),AND(K470&gt;=1,K470&lt;=10,K470=INT(K470)),FALSE)),"D : entier de 1 à 10",IF(G470="","Cause manquante",IF(AND(O470&lt;&gt;"",P470=""),"Responsable manquant",IF(AND(R470&lt;&gt;"",O470=""),"Statut sans action",IF(AND(R470="Réalisée",N(S470)=0),"Date de réalisation manquante",IF(AND(T470&lt;&gt;"",IF(ISNUMBER(T470),T470&lt;0,TRUE)),"Coût invalide",IF(AND(COUNTBLANK(U470:W470)&gt;0,COUNTBLANK(U470:W470)&lt;3),"Cotation après action incomplète",IF(AND(COUNTBLANK(U470:W470)=0,X470=""),"G', O', D' : entiers de 1 à 10",IF(AND(X470&lt;&gt;"",X470&gt;L470),"IPR après action plus élevé","OK")))))))))))))))))</f>
        <v/>
      </c>
      <c r="AC470" s="59" t="str">
        <f>IF(OR(AA470="En retard",AA470="Échéance proche",AA470="Dans les délais",AA470="Échéance manquante",AA470="Action à définir",AA470="À réévaluer"),IF(OR(plan_who="",P470=plan_who),IF(N(Q470)&gt;0,Q470,99999)*1000+ROW(),""),"")</f>
        <v/>
      </c>
      <c r="AD470" s="59" t="str">
        <f>IF(L470="","",L470*1000+1000-ROW())</f>
        <v/>
      </c>
      <c r="AE470" s="59" t="str">
        <f>IF(IF(AA470="En retard",1,IF(AA470="Action à définir",2,IF(AA470="Échéance manquante",3,IF(AA470="Échéance proche",4,IF(AA470="À réévaluer",5,0)))))=0,"",IF(AA470="En retard",1,IF(AA470="Action à définir",2,IF(AA470="Échéance manquante",3,IF(AA470="Échéance proche",4,IF(AA470="À réévaluer",5,0)))))*100000000+IF(N(Q470)&gt;0,Q470,99999)*1000+ROW())</f>
        <v/>
      </c>
      <c r="AF470" s="59" t="str">
        <f>IF(X470&lt;&gt;"",X470,L470)</f>
        <v/>
      </c>
      <c r="AG470" s="59" t="str">
        <f>IF(X470&lt;&gt;"",Y470,IF(L470&lt;&gt;"",M470,""))</f>
        <v/>
      </c>
      <c r="AH470" s="59" t="str">
        <f>IF(L470="","",IF(X470&lt;&gt;"",U470,F470))</f>
        <v/>
      </c>
      <c r="AI470" s="59" t="str">
        <f>IF(L470="","",IF(X470&lt;&gt;"",V470,H470))</f>
        <v/>
      </c>
    </row>
    <row r="471" ht="30" customHeight="1">
      <c r="A471" s="50" t="n"/>
      <c r="B471" s="51" t="n"/>
      <c r="C471" s="51" t="n"/>
      <c r="D471" s="51" t="n"/>
      <c r="E471" s="51" t="n"/>
      <c r="F471" s="52" t="n"/>
      <c r="G471" s="51" t="n"/>
      <c r="H471" s="52" t="n"/>
      <c r="I471" s="51" t="n"/>
      <c r="J471" s="51" t="n"/>
      <c r="K471" s="52" t="n"/>
      <c r="L471" s="53" t="str">
        <f>IF(AND(IF(ISNUMBER(F471),AND(F471&gt;=1,F471&lt;=10,F471=INT(F471)),FALSE),IF(ISNUMBER(H471),AND(H471&gt;=1,H471&lt;=10,H471=INT(H471)),FALSE),IF(ISNUMBER(K471),AND(K471&gt;=1,K471&lt;=10,K471=INT(K471)),FALSE)),F471*H471*K471,"")</f>
        <v/>
      </c>
      <c r="M471" s="54" t="str">
        <f>IF(L471="",IF(D471="","","À coter"),IF(OR(F471&gt;=p_gmin,L471&gt;=p_ipr_crit),"Critique",IF(L471&gt;=p_ipr_act,"Élevée",IF(L471&gt;=p_ipr_watch,"Moyenne","Faible"))))</f>
        <v/>
      </c>
      <c r="N471" s="54" t="str">
        <f>IF(OR(M471="",M471="À coter"),"",IF(OR(M471="Critique",M471="Élevée"),"Oui","Non"))</f>
        <v/>
      </c>
      <c r="O471" s="51" t="n"/>
      <c r="P471" s="51" t="n"/>
      <c r="Q471" s="55" t="n"/>
      <c r="R471" s="50" t="n"/>
      <c r="S471" s="55" t="n"/>
      <c r="T471" s="56" t="n"/>
      <c r="U471" s="52" t="n"/>
      <c r="V471" s="52" t="n"/>
      <c r="W471" s="52" t="n"/>
      <c r="X471" s="53" t="str">
        <f>IF(AND(L471&lt;&gt;"",IF(ISNUMBER(U471),AND(U471&gt;=1,U471&lt;=10,U471=INT(U471)),FALSE),IF(ISNUMBER(V471),AND(V471&gt;=1,V471&lt;=10,V471=INT(V471)),FALSE),IF(ISNUMBER(W471),AND(W471&gt;=1,W471&lt;=10,W471=INT(W471)),FALSE)),U471*V471*W471,"")</f>
        <v/>
      </c>
      <c r="Y471" s="54" t="str">
        <f>IF(X471="","",IF(OR(U471&gt;=p_gmin,X471&gt;=p_ipr_crit),"Critique",IF(X471&gt;=p_ipr_act,"Élevée",IF(X471&gt;=p_ipr_watch,"Moyenne","Faible"))))</f>
        <v/>
      </c>
      <c r="Z471" s="57" t="str">
        <f>IF(X471="","",(L471-X471)/L471)</f>
        <v/>
      </c>
      <c r="AA471" s="54" t="str">
        <f>IF(AND(D471="",O471=""),"",IF(O471="",IF(N471="Oui","Action à définir",IF(N471="Non","Sans action","")),IF(R471="Annulée","Annulée",IF(R471="Réalisée",IF(X471="","À réévaluer","Réalisée"),IF(N(Q471)=0,"Échéance manquante",IF(Q471&lt;p_today,"En retard",IF(Q471-p_today&lt;=p_alert,"Échéance proche","Dans les délais")))))))</f>
        <v/>
      </c>
      <c r="AB471" s="58" t="str">
        <f>IF(AND(A471="",B471="",D471="",F471="",H471="",K471="",O471=""),"",IF(D471="","Mode de défaillance manquant",IF(AND(A471&lt;&gt;"",COUNTIF(am_num,A471)&gt;1),"N° en double",IF(F471="","Gravité G manquante",IF(NOT(IF(ISNUMBER(F471),AND(F471&gt;=1,F471&lt;=10,F471=INT(F471)),FALSE)),"G : entier de 1 à 10",IF(H471="","Occurrence O manquante",IF(NOT(IF(ISNUMBER(H471),AND(H471&gt;=1,H471&lt;=10,H471=INT(H471)),FALSE)),"O : entier de 1 à 10",IF(K471="","Détection D manquante",IF(NOT(IF(ISNUMBER(K471),AND(K471&gt;=1,K471&lt;=10,K471=INT(K471)),FALSE)),"D : entier de 1 à 10",IF(G471="","Cause manquante",IF(AND(O471&lt;&gt;"",P471=""),"Responsable manquant",IF(AND(R471&lt;&gt;"",O471=""),"Statut sans action",IF(AND(R471="Réalisée",N(S471)=0),"Date de réalisation manquante",IF(AND(T471&lt;&gt;"",IF(ISNUMBER(T471),T471&lt;0,TRUE)),"Coût invalide",IF(AND(COUNTBLANK(U471:W471)&gt;0,COUNTBLANK(U471:W471)&lt;3),"Cotation après action incomplète",IF(AND(COUNTBLANK(U471:W471)=0,X471=""),"G', O', D' : entiers de 1 à 10",IF(AND(X471&lt;&gt;"",X471&gt;L471),"IPR après action plus élevé","OK")))))))))))))))))</f>
        <v/>
      </c>
      <c r="AC471" s="59" t="str">
        <f>IF(OR(AA471="En retard",AA471="Échéance proche",AA471="Dans les délais",AA471="Échéance manquante",AA471="Action à définir",AA471="À réévaluer"),IF(OR(plan_who="",P471=plan_who),IF(N(Q471)&gt;0,Q471,99999)*1000+ROW(),""),"")</f>
        <v/>
      </c>
      <c r="AD471" s="59" t="str">
        <f>IF(L471="","",L471*1000+1000-ROW())</f>
        <v/>
      </c>
      <c r="AE471" s="59" t="str">
        <f>IF(IF(AA471="En retard",1,IF(AA471="Action à définir",2,IF(AA471="Échéance manquante",3,IF(AA471="Échéance proche",4,IF(AA471="À réévaluer",5,0)))))=0,"",IF(AA471="En retard",1,IF(AA471="Action à définir",2,IF(AA471="Échéance manquante",3,IF(AA471="Échéance proche",4,IF(AA471="À réévaluer",5,0)))))*100000000+IF(N(Q471)&gt;0,Q471,99999)*1000+ROW())</f>
        <v/>
      </c>
      <c r="AF471" s="59" t="str">
        <f>IF(X471&lt;&gt;"",X471,L471)</f>
        <v/>
      </c>
      <c r="AG471" s="59" t="str">
        <f>IF(X471&lt;&gt;"",Y471,IF(L471&lt;&gt;"",M471,""))</f>
        <v/>
      </c>
      <c r="AH471" s="59" t="str">
        <f>IF(L471="","",IF(X471&lt;&gt;"",U471,F471))</f>
        <v/>
      </c>
      <c r="AI471" s="59" t="str">
        <f>IF(L471="","",IF(X471&lt;&gt;"",V471,H471))</f>
        <v/>
      </c>
    </row>
    <row r="472" ht="30" customHeight="1">
      <c r="A472" s="50" t="n"/>
      <c r="B472" s="51" t="n"/>
      <c r="C472" s="51" t="n"/>
      <c r="D472" s="51" t="n"/>
      <c r="E472" s="51" t="n"/>
      <c r="F472" s="52" t="n"/>
      <c r="G472" s="51" t="n"/>
      <c r="H472" s="52" t="n"/>
      <c r="I472" s="51" t="n"/>
      <c r="J472" s="51" t="n"/>
      <c r="K472" s="52" t="n"/>
      <c r="L472" s="53" t="str">
        <f>IF(AND(IF(ISNUMBER(F472),AND(F472&gt;=1,F472&lt;=10,F472=INT(F472)),FALSE),IF(ISNUMBER(H472),AND(H472&gt;=1,H472&lt;=10,H472=INT(H472)),FALSE),IF(ISNUMBER(K472),AND(K472&gt;=1,K472&lt;=10,K472=INT(K472)),FALSE)),F472*H472*K472,"")</f>
        <v/>
      </c>
      <c r="M472" s="54" t="str">
        <f>IF(L472="",IF(D472="","","À coter"),IF(OR(F472&gt;=p_gmin,L472&gt;=p_ipr_crit),"Critique",IF(L472&gt;=p_ipr_act,"Élevée",IF(L472&gt;=p_ipr_watch,"Moyenne","Faible"))))</f>
        <v/>
      </c>
      <c r="N472" s="54" t="str">
        <f>IF(OR(M472="",M472="À coter"),"",IF(OR(M472="Critique",M472="Élevée"),"Oui","Non"))</f>
        <v/>
      </c>
      <c r="O472" s="51" t="n"/>
      <c r="P472" s="51" t="n"/>
      <c r="Q472" s="55" t="n"/>
      <c r="R472" s="50" t="n"/>
      <c r="S472" s="55" t="n"/>
      <c r="T472" s="56" t="n"/>
      <c r="U472" s="52" t="n"/>
      <c r="V472" s="52" t="n"/>
      <c r="W472" s="52" t="n"/>
      <c r="X472" s="53" t="str">
        <f>IF(AND(L472&lt;&gt;"",IF(ISNUMBER(U472),AND(U472&gt;=1,U472&lt;=10,U472=INT(U472)),FALSE),IF(ISNUMBER(V472),AND(V472&gt;=1,V472&lt;=10,V472=INT(V472)),FALSE),IF(ISNUMBER(W472),AND(W472&gt;=1,W472&lt;=10,W472=INT(W472)),FALSE)),U472*V472*W472,"")</f>
        <v/>
      </c>
      <c r="Y472" s="54" t="str">
        <f>IF(X472="","",IF(OR(U472&gt;=p_gmin,X472&gt;=p_ipr_crit),"Critique",IF(X472&gt;=p_ipr_act,"Élevée",IF(X472&gt;=p_ipr_watch,"Moyenne","Faible"))))</f>
        <v/>
      </c>
      <c r="Z472" s="57" t="str">
        <f>IF(X472="","",(L472-X472)/L472)</f>
        <v/>
      </c>
      <c r="AA472" s="54" t="str">
        <f>IF(AND(D472="",O472=""),"",IF(O472="",IF(N472="Oui","Action à définir",IF(N472="Non","Sans action","")),IF(R472="Annulée","Annulée",IF(R472="Réalisée",IF(X472="","À réévaluer","Réalisée"),IF(N(Q472)=0,"Échéance manquante",IF(Q472&lt;p_today,"En retard",IF(Q472-p_today&lt;=p_alert,"Échéance proche","Dans les délais")))))))</f>
        <v/>
      </c>
      <c r="AB472" s="58" t="str">
        <f>IF(AND(A472="",B472="",D472="",F472="",H472="",K472="",O472=""),"",IF(D472="","Mode de défaillance manquant",IF(AND(A472&lt;&gt;"",COUNTIF(am_num,A472)&gt;1),"N° en double",IF(F472="","Gravité G manquante",IF(NOT(IF(ISNUMBER(F472),AND(F472&gt;=1,F472&lt;=10,F472=INT(F472)),FALSE)),"G : entier de 1 à 10",IF(H472="","Occurrence O manquante",IF(NOT(IF(ISNUMBER(H472),AND(H472&gt;=1,H472&lt;=10,H472=INT(H472)),FALSE)),"O : entier de 1 à 10",IF(K472="","Détection D manquante",IF(NOT(IF(ISNUMBER(K472),AND(K472&gt;=1,K472&lt;=10,K472=INT(K472)),FALSE)),"D : entier de 1 à 10",IF(G472="","Cause manquante",IF(AND(O472&lt;&gt;"",P472=""),"Responsable manquant",IF(AND(R472&lt;&gt;"",O472=""),"Statut sans action",IF(AND(R472="Réalisée",N(S472)=0),"Date de réalisation manquante",IF(AND(T472&lt;&gt;"",IF(ISNUMBER(T472),T472&lt;0,TRUE)),"Coût invalide",IF(AND(COUNTBLANK(U472:W472)&gt;0,COUNTBLANK(U472:W472)&lt;3),"Cotation après action incomplète",IF(AND(COUNTBLANK(U472:W472)=0,X472=""),"G', O', D' : entiers de 1 à 10",IF(AND(X472&lt;&gt;"",X472&gt;L472),"IPR après action plus élevé","OK")))))))))))))))))</f>
        <v/>
      </c>
      <c r="AC472" s="59" t="str">
        <f>IF(OR(AA472="En retard",AA472="Échéance proche",AA472="Dans les délais",AA472="Échéance manquante",AA472="Action à définir",AA472="À réévaluer"),IF(OR(plan_who="",P472=plan_who),IF(N(Q472)&gt;0,Q472,99999)*1000+ROW(),""),"")</f>
        <v/>
      </c>
      <c r="AD472" s="59" t="str">
        <f>IF(L472="","",L472*1000+1000-ROW())</f>
        <v/>
      </c>
      <c r="AE472" s="59" t="str">
        <f>IF(IF(AA472="En retard",1,IF(AA472="Action à définir",2,IF(AA472="Échéance manquante",3,IF(AA472="Échéance proche",4,IF(AA472="À réévaluer",5,0)))))=0,"",IF(AA472="En retard",1,IF(AA472="Action à définir",2,IF(AA472="Échéance manquante",3,IF(AA472="Échéance proche",4,IF(AA472="À réévaluer",5,0)))))*100000000+IF(N(Q472)&gt;0,Q472,99999)*1000+ROW())</f>
        <v/>
      </c>
      <c r="AF472" s="59" t="str">
        <f>IF(X472&lt;&gt;"",X472,L472)</f>
        <v/>
      </c>
      <c r="AG472" s="59" t="str">
        <f>IF(X472&lt;&gt;"",Y472,IF(L472&lt;&gt;"",M472,""))</f>
        <v/>
      </c>
      <c r="AH472" s="59" t="str">
        <f>IF(L472="","",IF(X472&lt;&gt;"",U472,F472))</f>
        <v/>
      </c>
      <c r="AI472" s="59" t="str">
        <f>IF(L472="","",IF(X472&lt;&gt;"",V472,H472))</f>
        <v/>
      </c>
    </row>
    <row r="473" ht="30" customHeight="1">
      <c r="A473" s="50" t="n"/>
      <c r="B473" s="51" t="n"/>
      <c r="C473" s="51" t="n"/>
      <c r="D473" s="51" t="n"/>
      <c r="E473" s="51" t="n"/>
      <c r="F473" s="52" t="n"/>
      <c r="G473" s="51" t="n"/>
      <c r="H473" s="52" t="n"/>
      <c r="I473" s="51" t="n"/>
      <c r="J473" s="51" t="n"/>
      <c r="K473" s="52" t="n"/>
      <c r="L473" s="53" t="str">
        <f>IF(AND(IF(ISNUMBER(F473),AND(F473&gt;=1,F473&lt;=10,F473=INT(F473)),FALSE),IF(ISNUMBER(H473),AND(H473&gt;=1,H473&lt;=10,H473=INT(H473)),FALSE),IF(ISNUMBER(K473),AND(K473&gt;=1,K473&lt;=10,K473=INT(K473)),FALSE)),F473*H473*K473,"")</f>
        <v/>
      </c>
      <c r="M473" s="54" t="str">
        <f>IF(L473="",IF(D473="","","À coter"),IF(OR(F473&gt;=p_gmin,L473&gt;=p_ipr_crit),"Critique",IF(L473&gt;=p_ipr_act,"Élevée",IF(L473&gt;=p_ipr_watch,"Moyenne","Faible"))))</f>
        <v/>
      </c>
      <c r="N473" s="54" t="str">
        <f>IF(OR(M473="",M473="À coter"),"",IF(OR(M473="Critique",M473="Élevée"),"Oui","Non"))</f>
        <v/>
      </c>
      <c r="O473" s="51" t="n"/>
      <c r="P473" s="51" t="n"/>
      <c r="Q473" s="55" t="n"/>
      <c r="R473" s="50" t="n"/>
      <c r="S473" s="55" t="n"/>
      <c r="T473" s="56" t="n"/>
      <c r="U473" s="52" t="n"/>
      <c r="V473" s="52" t="n"/>
      <c r="W473" s="52" t="n"/>
      <c r="X473" s="53" t="str">
        <f>IF(AND(L473&lt;&gt;"",IF(ISNUMBER(U473),AND(U473&gt;=1,U473&lt;=10,U473=INT(U473)),FALSE),IF(ISNUMBER(V473),AND(V473&gt;=1,V473&lt;=10,V473=INT(V473)),FALSE),IF(ISNUMBER(W473),AND(W473&gt;=1,W473&lt;=10,W473=INT(W473)),FALSE)),U473*V473*W473,"")</f>
        <v/>
      </c>
      <c r="Y473" s="54" t="str">
        <f>IF(X473="","",IF(OR(U473&gt;=p_gmin,X473&gt;=p_ipr_crit),"Critique",IF(X473&gt;=p_ipr_act,"Élevée",IF(X473&gt;=p_ipr_watch,"Moyenne","Faible"))))</f>
        <v/>
      </c>
      <c r="Z473" s="57" t="str">
        <f>IF(X473="","",(L473-X473)/L473)</f>
        <v/>
      </c>
      <c r="AA473" s="54" t="str">
        <f>IF(AND(D473="",O473=""),"",IF(O473="",IF(N473="Oui","Action à définir",IF(N473="Non","Sans action","")),IF(R473="Annulée","Annulée",IF(R473="Réalisée",IF(X473="","À réévaluer","Réalisée"),IF(N(Q473)=0,"Échéance manquante",IF(Q473&lt;p_today,"En retard",IF(Q473-p_today&lt;=p_alert,"Échéance proche","Dans les délais")))))))</f>
        <v/>
      </c>
      <c r="AB473" s="58" t="str">
        <f>IF(AND(A473="",B473="",D473="",F473="",H473="",K473="",O473=""),"",IF(D473="","Mode de défaillance manquant",IF(AND(A473&lt;&gt;"",COUNTIF(am_num,A473)&gt;1),"N° en double",IF(F473="","Gravité G manquante",IF(NOT(IF(ISNUMBER(F473),AND(F473&gt;=1,F473&lt;=10,F473=INT(F473)),FALSE)),"G : entier de 1 à 10",IF(H473="","Occurrence O manquante",IF(NOT(IF(ISNUMBER(H473),AND(H473&gt;=1,H473&lt;=10,H473=INT(H473)),FALSE)),"O : entier de 1 à 10",IF(K473="","Détection D manquante",IF(NOT(IF(ISNUMBER(K473),AND(K473&gt;=1,K473&lt;=10,K473=INT(K473)),FALSE)),"D : entier de 1 à 10",IF(G473="","Cause manquante",IF(AND(O473&lt;&gt;"",P473=""),"Responsable manquant",IF(AND(R473&lt;&gt;"",O473=""),"Statut sans action",IF(AND(R473="Réalisée",N(S473)=0),"Date de réalisation manquante",IF(AND(T473&lt;&gt;"",IF(ISNUMBER(T473),T473&lt;0,TRUE)),"Coût invalide",IF(AND(COUNTBLANK(U473:W473)&gt;0,COUNTBLANK(U473:W473)&lt;3),"Cotation après action incomplète",IF(AND(COUNTBLANK(U473:W473)=0,X473=""),"G', O', D' : entiers de 1 à 10",IF(AND(X473&lt;&gt;"",X473&gt;L473),"IPR après action plus élevé","OK")))))))))))))))))</f>
        <v/>
      </c>
      <c r="AC473" s="59" t="str">
        <f>IF(OR(AA473="En retard",AA473="Échéance proche",AA473="Dans les délais",AA473="Échéance manquante",AA473="Action à définir",AA473="À réévaluer"),IF(OR(plan_who="",P473=plan_who),IF(N(Q473)&gt;0,Q473,99999)*1000+ROW(),""),"")</f>
        <v/>
      </c>
      <c r="AD473" s="59" t="str">
        <f>IF(L473="","",L473*1000+1000-ROW())</f>
        <v/>
      </c>
      <c r="AE473" s="59" t="str">
        <f>IF(IF(AA473="En retard",1,IF(AA473="Action à définir",2,IF(AA473="Échéance manquante",3,IF(AA473="Échéance proche",4,IF(AA473="À réévaluer",5,0)))))=0,"",IF(AA473="En retard",1,IF(AA473="Action à définir",2,IF(AA473="Échéance manquante",3,IF(AA473="Échéance proche",4,IF(AA473="À réévaluer",5,0)))))*100000000+IF(N(Q473)&gt;0,Q473,99999)*1000+ROW())</f>
        <v/>
      </c>
      <c r="AF473" s="59" t="str">
        <f>IF(X473&lt;&gt;"",X473,L473)</f>
        <v/>
      </c>
      <c r="AG473" s="59" t="str">
        <f>IF(X473&lt;&gt;"",Y473,IF(L473&lt;&gt;"",M473,""))</f>
        <v/>
      </c>
      <c r="AH473" s="59" t="str">
        <f>IF(L473="","",IF(X473&lt;&gt;"",U473,F473))</f>
        <v/>
      </c>
      <c r="AI473" s="59" t="str">
        <f>IF(L473="","",IF(X473&lt;&gt;"",V473,H473))</f>
        <v/>
      </c>
    </row>
    <row r="474" ht="30" customHeight="1">
      <c r="A474" s="50" t="n"/>
      <c r="B474" s="51" t="n"/>
      <c r="C474" s="51" t="n"/>
      <c r="D474" s="51" t="n"/>
      <c r="E474" s="51" t="n"/>
      <c r="F474" s="52" t="n"/>
      <c r="G474" s="51" t="n"/>
      <c r="H474" s="52" t="n"/>
      <c r="I474" s="51" t="n"/>
      <c r="J474" s="51" t="n"/>
      <c r="K474" s="52" t="n"/>
      <c r="L474" s="53" t="str">
        <f>IF(AND(IF(ISNUMBER(F474),AND(F474&gt;=1,F474&lt;=10,F474=INT(F474)),FALSE),IF(ISNUMBER(H474),AND(H474&gt;=1,H474&lt;=10,H474=INT(H474)),FALSE),IF(ISNUMBER(K474),AND(K474&gt;=1,K474&lt;=10,K474=INT(K474)),FALSE)),F474*H474*K474,"")</f>
        <v/>
      </c>
      <c r="M474" s="54" t="str">
        <f>IF(L474="",IF(D474="","","À coter"),IF(OR(F474&gt;=p_gmin,L474&gt;=p_ipr_crit),"Critique",IF(L474&gt;=p_ipr_act,"Élevée",IF(L474&gt;=p_ipr_watch,"Moyenne","Faible"))))</f>
        <v/>
      </c>
      <c r="N474" s="54" t="str">
        <f>IF(OR(M474="",M474="À coter"),"",IF(OR(M474="Critique",M474="Élevée"),"Oui","Non"))</f>
        <v/>
      </c>
      <c r="O474" s="51" t="n"/>
      <c r="P474" s="51" t="n"/>
      <c r="Q474" s="55" t="n"/>
      <c r="R474" s="50" t="n"/>
      <c r="S474" s="55" t="n"/>
      <c r="T474" s="56" t="n"/>
      <c r="U474" s="52" t="n"/>
      <c r="V474" s="52" t="n"/>
      <c r="W474" s="52" t="n"/>
      <c r="X474" s="53" t="str">
        <f>IF(AND(L474&lt;&gt;"",IF(ISNUMBER(U474),AND(U474&gt;=1,U474&lt;=10,U474=INT(U474)),FALSE),IF(ISNUMBER(V474),AND(V474&gt;=1,V474&lt;=10,V474=INT(V474)),FALSE),IF(ISNUMBER(W474),AND(W474&gt;=1,W474&lt;=10,W474=INT(W474)),FALSE)),U474*V474*W474,"")</f>
        <v/>
      </c>
      <c r="Y474" s="54" t="str">
        <f>IF(X474="","",IF(OR(U474&gt;=p_gmin,X474&gt;=p_ipr_crit),"Critique",IF(X474&gt;=p_ipr_act,"Élevée",IF(X474&gt;=p_ipr_watch,"Moyenne","Faible"))))</f>
        <v/>
      </c>
      <c r="Z474" s="57" t="str">
        <f>IF(X474="","",(L474-X474)/L474)</f>
        <v/>
      </c>
      <c r="AA474" s="54" t="str">
        <f>IF(AND(D474="",O474=""),"",IF(O474="",IF(N474="Oui","Action à définir",IF(N474="Non","Sans action","")),IF(R474="Annulée","Annulée",IF(R474="Réalisée",IF(X474="","À réévaluer","Réalisée"),IF(N(Q474)=0,"Échéance manquante",IF(Q474&lt;p_today,"En retard",IF(Q474-p_today&lt;=p_alert,"Échéance proche","Dans les délais")))))))</f>
        <v/>
      </c>
      <c r="AB474" s="58" t="str">
        <f>IF(AND(A474="",B474="",D474="",F474="",H474="",K474="",O474=""),"",IF(D474="","Mode de défaillance manquant",IF(AND(A474&lt;&gt;"",COUNTIF(am_num,A474)&gt;1),"N° en double",IF(F474="","Gravité G manquante",IF(NOT(IF(ISNUMBER(F474),AND(F474&gt;=1,F474&lt;=10,F474=INT(F474)),FALSE)),"G : entier de 1 à 10",IF(H474="","Occurrence O manquante",IF(NOT(IF(ISNUMBER(H474),AND(H474&gt;=1,H474&lt;=10,H474=INT(H474)),FALSE)),"O : entier de 1 à 10",IF(K474="","Détection D manquante",IF(NOT(IF(ISNUMBER(K474),AND(K474&gt;=1,K474&lt;=10,K474=INT(K474)),FALSE)),"D : entier de 1 à 10",IF(G474="","Cause manquante",IF(AND(O474&lt;&gt;"",P474=""),"Responsable manquant",IF(AND(R474&lt;&gt;"",O474=""),"Statut sans action",IF(AND(R474="Réalisée",N(S474)=0),"Date de réalisation manquante",IF(AND(T474&lt;&gt;"",IF(ISNUMBER(T474),T474&lt;0,TRUE)),"Coût invalide",IF(AND(COUNTBLANK(U474:W474)&gt;0,COUNTBLANK(U474:W474)&lt;3),"Cotation après action incomplète",IF(AND(COUNTBLANK(U474:W474)=0,X474=""),"G', O', D' : entiers de 1 à 10",IF(AND(X474&lt;&gt;"",X474&gt;L474),"IPR après action plus élevé","OK")))))))))))))))))</f>
        <v/>
      </c>
      <c r="AC474" s="59" t="str">
        <f>IF(OR(AA474="En retard",AA474="Échéance proche",AA474="Dans les délais",AA474="Échéance manquante",AA474="Action à définir",AA474="À réévaluer"),IF(OR(plan_who="",P474=plan_who),IF(N(Q474)&gt;0,Q474,99999)*1000+ROW(),""),"")</f>
        <v/>
      </c>
      <c r="AD474" s="59" t="str">
        <f>IF(L474="","",L474*1000+1000-ROW())</f>
        <v/>
      </c>
      <c r="AE474" s="59" t="str">
        <f>IF(IF(AA474="En retard",1,IF(AA474="Action à définir",2,IF(AA474="Échéance manquante",3,IF(AA474="Échéance proche",4,IF(AA474="À réévaluer",5,0)))))=0,"",IF(AA474="En retard",1,IF(AA474="Action à définir",2,IF(AA474="Échéance manquante",3,IF(AA474="Échéance proche",4,IF(AA474="À réévaluer",5,0)))))*100000000+IF(N(Q474)&gt;0,Q474,99999)*1000+ROW())</f>
        <v/>
      </c>
      <c r="AF474" s="59" t="str">
        <f>IF(X474&lt;&gt;"",X474,L474)</f>
        <v/>
      </c>
      <c r="AG474" s="59" t="str">
        <f>IF(X474&lt;&gt;"",Y474,IF(L474&lt;&gt;"",M474,""))</f>
        <v/>
      </c>
      <c r="AH474" s="59" t="str">
        <f>IF(L474="","",IF(X474&lt;&gt;"",U474,F474))</f>
        <v/>
      </c>
      <c r="AI474" s="59" t="str">
        <f>IF(L474="","",IF(X474&lt;&gt;"",V474,H474))</f>
        <v/>
      </c>
    </row>
    <row r="475" ht="30" customHeight="1">
      <c r="A475" s="50" t="n"/>
      <c r="B475" s="51" t="n"/>
      <c r="C475" s="51" t="n"/>
      <c r="D475" s="51" t="n"/>
      <c r="E475" s="51" t="n"/>
      <c r="F475" s="52" t="n"/>
      <c r="G475" s="51" t="n"/>
      <c r="H475" s="52" t="n"/>
      <c r="I475" s="51" t="n"/>
      <c r="J475" s="51" t="n"/>
      <c r="K475" s="52" t="n"/>
      <c r="L475" s="53" t="str">
        <f>IF(AND(IF(ISNUMBER(F475),AND(F475&gt;=1,F475&lt;=10,F475=INT(F475)),FALSE),IF(ISNUMBER(H475),AND(H475&gt;=1,H475&lt;=10,H475=INT(H475)),FALSE),IF(ISNUMBER(K475),AND(K475&gt;=1,K475&lt;=10,K475=INT(K475)),FALSE)),F475*H475*K475,"")</f>
        <v/>
      </c>
      <c r="M475" s="54" t="str">
        <f>IF(L475="",IF(D475="","","À coter"),IF(OR(F475&gt;=p_gmin,L475&gt;=p_ipr_crit),"Critique",IF(L475&gt;=p_ipr_act,"Élevée",IF(L475&gt;=p_ipr_watch,"Moyenne","Faible"))))</f>
        <v/>
      </c>
      <c r="N475" s="54" t="str">
        <f>IF(OR(M475="",M475="À coter"),"",IF(OR(M475="Critique",M475="Élevée"),"Oui","Non"))</f>
        <v/>
      </c>
      <c r="O475" s="51" t="n"/>
      <c r="P475" s="51" t="n"/>
      <c r="Q475" s="55" t="n"/>
      <c r="R475" s="50" t="n"/>
      <c r="S475" s="55" t="n"/>
      <c r="T475" s="56" t="n"/>
      <c r="U475" s="52" t="n"/>
      <c r="V475" s="52" t="n"/>
      <c r="W475" s="52" t="n"/>
      <c r="X475" s="53" t="str">
        <f>IF(AND(L475&lt;&gt;"",IF(ISNUMBER(U475),AND(U475&gt;=1,U475&lt;=10,U475=INT(U475)),FALSE),IF(ISNUMBER(V475),AND(V475&gt;=1,V475&lt;=10,V475=INT(V475)),FALSE),IF(ISNUMBER(W475),AND(W475&gt;=1,W475&lt;=10,W475=INT(W475)),FALSE)),U475*V475*W475,"")</f>
        <v/>
      </c>
      <c r="Y475" s="54" t="str">
        <f>IF(X475="","",IF(OR(U475&gt;=p_gmin,X475&gt;=p_ipr_crit),"Critique",IF(X475&gt;=p_ipr_act,"Élevée",IF(X475&gt;=p_ipr_watch,"Moyenne","Faible"))))</f>
        <v/>
      </c>
      <c r="Z475" s="57" t="str">
        <f>IF(X475="","",(L475-X475)/L475)</f>
        <v/>
      </c>
      <c r="AA475" s="54" t="str">
        <f>IF(AND(D475="",O475=""),"",IF(O475="",IF(N475="Oui","Action à définir",IF(N475="Non","Sans action","")),IF(R475="Annulée","Annulée",IF(R475="Réalisée",IF(X475="","À réévaluer","Réalisée"),IF(N(Q475)=0,"Échéance manquante",IF(Q475&lt;p_today,"En retard",IF(Q475-p_today&lt;=p_alert,"Échéance proche","Dans les délais")))))))</f>
        <v/>
      </c>
      <c r="AB475" s="58" t="str">
        <f>IF(AND(A475="",B475="",D475="",F475="",H475="",K475="",O475=""),"",IF(D475="","Mode de défaillance manquant",IF(AND(A475&lt;&gt;"",COUNTIF(am_num,A475)&gt;1),"N° en double",IF(F475="","Gravité G manquante",IF(NOT(IF(ISNUMBER(F475),AND(F475&gt;=1,F475&lt;=10,F475=INT(F475)),FALSE)),"G : entier de 1 à 10",IF(H475="","Occurrence O manquante",IF(NOT(IF(ISNUMBER(H475),AND(H475&gt;=1,H475&lt;=10,H475=INT(H475)),FALSE)),"O : entier de 1 à 10",IF(K475="","Détection D manquante",IF(NOT(IF(ISNUMBER(K475),AND(K475&gt;=1,K475&lt;=10,K475=INT(K475)),FALSE)),"D : entier de 1 à 10",IF(G475="","Cause manquante",IF(AND(O475&lt;&gt;"",P475=""),"Responsable manquant",IF(AND(R475&lt;&gt;"",O475=""),"Statut sans action",IF(AND(R475="Réalisée",N(S475)=0),"Date de réalisation manquante",IF(AND(T475&lt;&gt;"",IF(ISNUMBER(T475),T475&lt;0,TRUE)),"Coût invalide",IF(AND(COUNTBLANK(U475:W475)&gt;0,COUNTBLANK(U475:W475)&lt;3),"Cotation après action incomplète",IF(AND(COUNTBLANK(U475:W475)=0,X475=""),"G', O', D' : entiers de 1 à 10",IF(AND(X475&lt;&gt;"",X475&gt;L475),"IPR après action plus élevé","OK")))))))))))))))))</f>
        <v/>
      </c>
      <c r="AC475" s="59" t="str">
        <f>IF(OR(AA475="En retard",AA475="Échéance proche",AA475="Dans les délais",AA475="Échéance manquante",AA475="Action à définir",AA475="À réévaluer"),IF(OR(plan_who="",P475=plan_who),IF(N(Q475)&gt;0,Q475,99999)*1000+ROW(),""),"")</f>
        <v/>
      </c>
      <c r="AD475" s="59" t="str">
        <f>IF(L475="","",L475*1000+1000-ROW())</f>
        <v/>
      </c>
      <c r="AE475" s="59" t="str">
        <f>IF(IF(AA475="En retard",1,IF(AA475="Action à définir",2,IF(AA475="Échéance manquante",3,IF(AA475="Échéance proche",4,IF(AA475="À réévaluer",5,0)))))=0,"",IF(AA475="En retard",1,IF(AA475="Action à définir",2,IF(AA475="Échéance manquante",3,IF(AA475="Échéance proche",4,IF(AA475="À réévaluer",5,0)))))*100000000+IF(N(Q475)&gt;0,Q475,99999)*1000+ROW())</f>
        <v/>
      </c>
      <c r="AF475" s="59" t="str">
        <f>IF(X475&lt;&gt;"",X475,L475)</f>
        <v/>
      </c>
      <c r="AG475" s="59" t="str">
        <f>IF(X475&lt;&gt;"",Y475,IF(L475&lt;&gt;"",M475,""))</f>
        <v/>
      </c>
      <c r="AH475" s="59" t="str">
        <f>IF(L475="","",IF(X475&lt;&gt;"",U475,F475))</f>
        <v/>
      </c>
      <c r="AI475" s="59" t="str">
        <f>IF(L475="","",IF(X475&lt;&gt;"",V475,H475))</f>
        <v/>
      </c>
    </row>
    <row r="476" ht="30" customHeight="1">
      <c r="A476" s="50" t="n"/>
      <c r="B476" s="51" t="n"/>
      <c r="C476" s="51" t="n"/>
      <c r="D476" s="51" t="n"/>
      <c r="E476" s="51" t="n"/>
      <c r="F476" s="52" t="n"/>
      <c r="G476" s="51" t="n"/>
      <c r="H476" s="52" t="n"/>
      <c r="I476" s="51" t="n"/>
      <c r="J476" s="51" t="n"/>
      <c r="K476" s="52" t="n"/>
      <c r="L476" s="53" t="str">
        <f>IF(AND(IF(ISNUMBER(F476),AND(F476&gt;=1,F476&lt;=10,F476=INT(F476)),FALSE),IF(ISNUMBER(H476),AND(H476&gt;=1,H476&lt;=10,H476=INT(H476)),FALSE),IF(ISNUMBER(K476),AND(K476&gt;=1,K476&lt;=10,K476=INT(K476)),FALSE)),F476*H476*K476,"")</f>
        <v/>
      </c>
      <c r="M476" s="54" t="str">
        <f>IF(L476="",IF(D476="","","À coter"),IF(OR(F476&gt;=p_gmin,L476&gt;=p_ipr_crit),"Critique",IF(L476&gt;=p_ipr_act,"Élevée",IF(L476&gt;=p_ipr_watch,"Moyenne","Faible"))))</f>
        <v/>
      </c>
      <c r="N476" s="54" t="str">
        <f>IF(OR(M476="",M476="À coter"),"",IF(OR(M476="Critique",M476="Élevée"),"Oui","Non"))</f>
        <v/>
      </c>
      <c r="O476" s="51" t="n"/>
      <c r="P476" s="51" t="n"/>
      <c r="Q476" s="55" t="n"/>
      <c r="R476" s="50" t="n"/>
      <c r="S476" s="55" t="n"/>
      <c r="T476" s="56" t="n"/>
      <c r="U476" s="52" t="n"/>
      <c r="V476" s="52" t="n"/>
      <c r="W476" s="52" t="n"/>
      <c r="X476" s="53" t="str">
        <f>IF(AND(L476&lt;&gt;"",IF(ISNUMBER(U476),AND(U476&gt;=1,U476&lt;=10,U476=INT(U476)),FALSE),IF(ISNUMBER(V476),AND(V476&gt;=1,V476&lt;=10,V476=INT(V476)),FALSE),IF(ISNUMBER(W476),AND(W476&gt;=1,W476&lt;=10,W476=INT(W476)),FALSE)),U476*V476*W476,"")</f>
        <v/>
      </c>
      <c r="Y476" s="54" t="str">
        <f>IF(X476="","",IF(OR(U476&gt;=p_gmin,X476&gt;=p_ipr_crit),"Critique",IF(X476&gt;=p_ipr_act,"Élevée",IF(X476&gt;=p_ipr_watch,"Moyenne","Faible"))))</f>
        <v/>
      </c>
      <c r="Z476" s="57" t="str">
        <f>IF(X476="","",(L476-X476)/L476)</f>
        <v/>
      </c>
      <c r="AA476" s="54" t="str">
        <f>IF(AND(D476="",O476=""),"",IF(O476="",IF(N476="Oui","Action à définir",IF(N476="Non","Sans action","")),IF(R476="Annulée","Annulée",IF(R476="Réalisée",IF(X476="","À réévaluer","Réalisée"),IF(N(Q476)=0,"Échéance manquante",IF(Q476&lt;p_today,"En retard",IF(Q476-p_today&lt;=p_alert,"Échéance proche","Dans les délais")))))))</f>
        <v/>
      </c>
      <c r="AB476" s="58" t="str">
        <f>IF(AND(A476="",B476="",D476="",F476="",H476="",K476="",O476=""),"",IF(D476="","Mode de défaillance manquant",IF(AND(A476&lt;&gt;"",COUNTIF(am_num,A476)&gt;1),"N° en double",IF(F476="","Gravité G manquante",IF(NOT(IF(ISNUMBER(F476),AND(F476&gt;=1,F476&lt;=10,F476=INT(F476)),FALSE)),"G : entier de 1 à 10",IF(H476="","Occurrence O manquante",IF(NOT(IF(ISNUMBER(H476),AND(H476&gt;=1,H476&lt;=10,H476=INT(H476)),FALSE)),"O : entier de 1 à 10",IF(K476="","Détection D manquante",IF(NOT(IF(ISNUMBER(K476),AND(K476&gt;=1,K476&lt;=10,K476=INT(K476)),FALSE)),"D : entier de 1 à 10",IF(G476="","Cause manquante",IF(AND(O476&lt;&gt;"",P476=""),"Responsable manquant",IF(AND(R476&lt;&gt;"",O476=""),"Statut sans action",IF(AND(R476="Réalisée",N(S476)=0),"Date de réalisation manquante",IF(AND(T476&lt;&gt;"",IF(ISNUMBER(T476),T476&lt;0,TRUE)),"Coût invalide",IF(AND(COUNTBLANK(U476:W476)&gt;0,COUNTBLANK(U476:W476)&lt;3),"Cotation après action incomplète",IF(AND(COUNTBLANK(U476:W476)=0,X476=""),"G', O', D' : entiers de 1 à 10",IF(AND(X476&lt;&gt;"",X476&gt;L476),"IPR après action plus élevé","OK")))))))))))))))))</f>
        <v/>
      </c>
      <c r="AC476" s="59" t="str">
        <f>IF(OR(AA476="En retard",AA476="Échéance proche",AA476="Dans les délais",AA476="Échéance manquante",AA476="Action à définir",AA476="À réévaluer"),IF(OR(plan_who="",P476=plan_who),IF(N(Q476)&gt;0,Q476,99999)*1000+ROW(),""),"")</f>
        <v/>
      </c>
      <c r="AD476" s="59" t="str">
        <f>IF(L476="","",L476*1000+1000-ROW())</f>
        <v/>
      </c>
      <c r="AE476" s="59" t="str">
        <f>IF(IF(AA476="En retard",1,IF(AA476="Action à définir",2,IF(AA476="Échéance manquante",3,IF(AA476="Échéance proche",4,IF(AA476="À réévaluer",5,0)))))=0,"",IF(AA476="En retard",1,IF(AA476="Action à définir",2,IF(AA476="Échéance manquante",3,IF(AA476="Échéance proche",4,IF(AA476="À réévaluer",5,0)))))*100000000+IF(N(Q476)&gt;0,Q476,99999)*1000+ROW())</f>
        <v/>
      </c>
      <c r="AF476" s="59" t="str">
        <f>IF(X476&lt;&gt;"",X476,L476)</f>
        <v/>
      </c>
      <c r="AG476" s="59" t="str">
        <f>IF(X476&lt;&gt;"",Y476,IF(L476&lt;&gt;"",M476,""))</f>
        <v/>
      </c>
      <c r="AH476" s="59" t="str">
        <f>IF(L476="","",IF(X476&lt;&gt;"",U476,F476))</f>
        <v/>
      </c>
      <c r="AI476" s="59" t="str">
        <f>IF(L476="","",IF(X476&lt;&gt;"",V476,H476))</f>
        <v/>
      </c>
    </row>
    <row r="477" ht="30" customHeight="1">
      <c r="A477" s="50" t="n"/>
      <c r="B477" s="51" t="n"/>
      <c r="C477" s="51" t="n"/>
      <c r="D477" s="51" t="n"/>
      <c r="E477" s="51" t="n"/>
      <c r="F477" s="52" t="n"/>
      <c r="G477" s="51" t="n"/>
      <c r="H477" s="52" t="n"/>
      <c r="I477" s="51" t="n"/>
      <c r="J477" s="51" t="n"/>
      <c r="K477" s="52" t="n"/>
      <c r="L477" s="53" t="str">
        <f>IF(AND(IF(ISNUMBER(F477),AND(F477&gt;=1,F477&lt;=10,F477=INT(F477)),FALSE),IF(ISNUMBER(H477),AND(H477&gt;=1,H477&lt;=10,H477=INT(H477)),FALSE),IF(ISNUMBER(K477),AND(K477&gt;=1,K477&lt;=10,K477=INT(K477)),FALSE)),F477*H477*K477,"")</f>
        <v/>
      </c>
      <c r="M477" s="54" t="str">
        <f>IF(L477="",IF(D477="","","À coter"),IF(OR(F477&gt;=p_gmin,L477&gt;=p_ipr_crit),"Critique",IF(L477&gt;=p_ipr_act,"Élevée",IF(L477&gt;=p_ipr_watch,"Moyenne","Faible"))))</f>
        <v/>
      </c>
      <c r="N477" s="54" t="str">
        <f>IF(OR(M477="",M477="À coter"),"",IF(OR(M477="Critique",M477="Élevée"),"Oui","Non"))</f>
        <v/>
      </c>
      <c r="O477" s="51" t="n"/>
      <c r="P477" s="51" t="n"/>
      <c r="Q477" s="55" t="n"/>
      <c r="R477" s="50" t="n"/>
      <c r="S477" s="55" t="n"/>
      <c r="T477" s="56" t="n"/>
      <c r="U477" s="52" t="n"/>
      <c r="V477" s="52" t="n"/>
      <c r="W477" s="52" t="n"/>
      <c r="X477" s="53" t="str">
        <f>IF(AND(L477&lt;&gt;"",IF(ISNUMBER(U477),AND(U477&gt;=1,U477&lt;=10,U477=INT(U477)),FALSE),IF(ISNUMBER(V477),AND(V477&gt;=1,V477&lt;=10,V477=INT(V477)),FALSE),IF(ISNUMBER(W477),AND(W477&gt;=1,W477&lt;=10,W477=INT(W477)),FALSE)),U477*V477*W477,"")</f>
        <v/>
      </c>
      <c r="Y477" s="54" t="str">
        <f>IF(X477="","",IF(OR(U477&gt;=p_gmin,X477&gt;=p_ipr_crit),"Critique",IF(X477&gt;=p_ipr_act,"Élevée",IF(X477&gt;=p_ipr_watch,"Moyenne","Faible"))))</f>
        <v/>
      </c>
      <c r="Z477" s="57" t="str">
        <f>IF(X477="","",(L477-X477)/L477)</f>
        <v/>
      </c>
      <c r="AA477" s="54" t="str">
        <f>IF(AND(D477="",O477=""),"",IF(O477="",IF(N477="Oui","Action à définir",IF(N477="Non","Sans action","")),IF(R477="Annulée","Annulée",IF(R477="Réalisée",IF(X477="","À réévaluer","Réalisée"),IF(N(Q477)=0,"Échéance manquante",IF(Q477&lt;p_today,"En retard",IF(Q477-p_today&lt;=p_alert,"Échéance proche","Dans les délais")))))))</f>
        <v/>
      </c>
      <c r="AB477" s="58" t="str">
        <f>IF(AND(A477="",B477="",D477="",F477="",H477="",K477="",O477=""),"",IF(D477="","Mode de défaillance manquant",IF(AND(A477&lt;&gt;"",COUNTIF(am_num,A477)&gt;1),"N° en double",IF(F477="","Gravité G manquante",IF(NOT(IF(ISNUMBER(F477),AND(F477&gt;=1,F477&lt;=10,F477=INT(F477)),FALSE)),"G : entier de 1 à 10",IF(H477="","Occurrence O manquante",IF(NOT(IF(ISNUMBER(H477),AND(H477&gt;=1,H477&lt;=10,H477=INT(H477)),FALSE)),"O : entier de 1 à 10",IF(K477="","Détection D manquante",IF(NOT(IF(ISNUMBER(K477),AND(K477&gt;=1,K477&lt;=10,K477=INT(K477)),FALSE)),"D : entier de 1 à 10",IF(G477="","Cause manquante",IF(AND(O477&lt;&gt;"",P477=""),"Responsable manquant",IF(AND(R477&lt;&gt;"",O477=""),"Statut sans action",IF(AND(R477="Réalisée",N(S477)=0),"Date de réalisation manquante",IF(AND(T477&lt;&gt;"",IF(ISNUMBER(T477),T477&lt;0,TRUE)),"Coût invalide",IF(AND(COUNTBLANK(U477:W477)&gt;0,COUNTBLANK(U477:W477)&lt;3),"Cotation après action incomplète",IF(AND(COUNTBLANK(U477:W477)=0,X477=""),"G', O', D' : entiers de 1 à 10",IF(AND(X477&lt;&gt;"",X477&gt;L477),"IPR après action plus élevé","OK")))))))))))))))))</f>
        <v/>
      </c>
      <c r="AC477" s="59" t="str">
        <f>IF(OR(AA477="En retard",AA477="Échéance proche",AA477="Dans les délais",AA477="Échéance manquante",AA477="Action à définir",AA477="À réévaluer"),IF(OR(plan_who="",P477=plan_who),IF(N(Q477)&gt;0,Q477,99999)*1000+ROW(),""),"")</f>
        <v/>
      </c>
      <c r="AD477" s="59" t="str">
        <f>IF(L477="","",L477*1000+1000-ROW())</f>
        <v/>
      </c>
      <c r="AE477" s="59" t="str">
        <f>IF(IF(AA477="En retard",1,IF(AA477="Action à définir",2,IF(AA477="Échéance manquante",3,IF(AA477="Échéance proche",4,IF(AA477="À réévaluer",5,0)))))=0,"",IF(AA477="En retard",1,IF(AA477="Action à définir",2,IF(AA477="Échéance manquante",3,IF(AA477="Échéance proche",4,IF(AA477="À réévaluer",5,0)))))*100000000+IF(N(Q477)&gt;0,Q477,99999)*1000+ROW())</f>
        <v/>
      </c>
      <c r="AF477" s="59" t="str">
        <f>IF(X477&lt;&gt;"",X477,L477)</f>
        <v/>
      </c>
      <c r="AG477" s="59" t="str">
        <f>IF(X477&lt;&gt;"",Y477,IF(L477&lt;&gt;"",M477,""))</f>
        <v/>
      </c>
      <c r="AH477" s="59" t="str">
        <f>IF(L477="","",IF(X477&lt;&gt;"",U477,F477))</f>
        <v/>
      </c>
      <c r="AI477" s="59" t="str">
        <f>IF(L477="","",IF(X477&lt;&gt;"",V477,H477))</f>
        <v/>
      </c>
    </row>
    <row r="478" ht="30" customHeight="1">
      <c r="A478" s="50" t="n"/>
      <c r="B478" s="51" t="n"/>
      <c r="C478" s="51" t="n"/>
      <c r="D478" s="51" t="n"/>
      <c r="E478" s="51" t="n"/>
      <c r="F478" s="52" t="n"/>
      <c r="G478" s="51" t="n"/>
      <c r="H478" s="52" t="n"/>
      <c r="I478" s="51" t="n"/>
      <c r="J478" s="51" t="n"/>
      <c r="K478" s="52" t="n"/>
      <c r="L478" s="53" t="str">
        <f>IF(AND(IF(ISNUMBER(F478),AND(F478&gt;=1,F478&lt;=10,F478=INT(F478)),FALSE),IF(ISNUMBER(H478),AND(H478&gt;=1,H478&lt;=10,H478=INT(H478)),FALSE),IF(ISNUMBER(K478),AND(K478&gt;=1,K478&lt;=10,K478=INT(K478)),FALSE)),F478*H478*K478,"")</f>
        <v/>
      </c>
      <c r="M478" s="54" t="str">
        <f>IF(L478="",IF(D478="","","À coter"),IF(OR(F478&gt;=p_gmin,L478&gt;=p_ipr_crit),"Critique",IF(L478&gt;=p_ipr_act,"Élevée",IF(L478&gt;=p_ipr_watch,"Moyenne","Faible"))))</f>
        <v/>
      </c>
      <c r="N478" s="54" t="str">
        <f>IF(OR(M478="",M478="À coter"),"",IF(OR(M478="Critique",M478="Élevée"),"Oui","Non"))</f>
        <v/>
      </c>
      <c r="O478" s="51" t="n"/>
      <c r="P478" s="51" t="n"/>
      <c r="Q478" s="55" t="n"/>
      <c r="R478" s="50" t="n"/>
      <c r="S478" s="55" t="n"/>
      <c r="T478" s="56" t="n"/>
      <c r="U478" s="52" t="n"/>
      <c r="V478" s="52" t="n"/>
      <c r="W478" s="52" t="n"/>
      <c r="X478" s="53" t="str">
        <f>IF(AND(L478&lt;&gt;"",IF(ISNUMBER(U478),AND(U478&gt;=1,U478&lt;=10,U478=INT(U478)),FALSE),IF(ISNUMBER(V478),AND(V478&gt;=1,V478&lt;=10,V478=INT(V478)),FALSE),IF(ISNUMBER(W478),AND(W478&gt;=1,W478&lt;=10,W478=INT(W478)),FALSE)),U478*V478*W478,"")</f>
        <v/>
      </c>
      <c r="Y478" s="54" t="str">
        <f>IF(X478="","",IF(OR(U478&gt;=p_gmin,X478&gt;=p_ipr_crit),"Critique",IF(X478&gt;=p_ipr_act,"Élevée",IF(X478&gt;=p_ipr_watch,"Moyenne","Faible"))))</f>
        <v/>
      </c>
      <c r="Z478" s="57" t="str">
        <f>IF(X478="","",(L478-X478)/L478)</f>
        <v/>
      </c>
      <c r="AA478" s="54" t="str">
        <f>IF(AND(D478="",O478=""),"",IF(O478="",IF(N478="Oui","Action à définir",IF(N478="Non","Sans action","")),IF(R478="Annulée","Annulée",IF(R478="Réalisée",IF(X478="","À réévaluer","Réalisée"),IF(N(Q478)=0,"Échéance manquante",IF(Q478&lt;p_today,"En retard",IF(Q478-p_today&lt;=p_alert,"Échéance proche","Dans les délais")))))))</f>
        <v/>
      </c>
      <c r="AB478" s="58" t="str">
        <f>IF(AND(A478="",B478="",D478="",F478="",H478="",K478="",O478=""),"",IF(D478="","Mode de défaillance manquant",IF(AND(A478&lt;&gt;"",COUNTIF(am_num,A478)&gt;1),"N° en double",IF(F478="","Gravité G manquante",IF(NOT(IF(ISNUMBER(F478),AND(F478&gt;=1,F478&lt;=10,F478=INT(F478)),FALSE)),"G : entier de 1 à 10",IF(H478="","Occurrence O manquante",IF(NOT(IF(ISNUMBER(H478),AND(H478&gt;=1,H478&lt;=10,H478=INT(H478)),FALSE)),"O : entier de 1 à 10",IF(K478="","Détection D manquante",IF(NOT(IF(ISNUMBER(K478),AND(K478&gt;=1,K478&lt;=10,K478=INT(K478)),FALSE)),"D : entier de 1 à 10",IF(G478="","Cause manquante",IF(AND(O478&lt;&gt;"",P478=""),"Responsable manquant",IF(AND(R478&lt;&gt;"",O478=""),"Statut sans action",IF(AND(R478="Réalisée",N(S478)=0),"Date de réalisation manquante",IF(AND(T478&lt;&gt;"",IF(ISNUMBER(T478),T478&lt;0,TRUE)),"Coût invalide",IF(AND(COUNTBLANK(U478:W478)&gt;0,COUNTBLANK(U478:W478)&lt;3),"Cotation après action incomplète",IF(AND(COUNTBLANK(U478:W478)=0,X478=""),"G', O', D' : entiers de 1 à 10",IF(AND(X478&lt;&gt;"",X478&gt;L478),"IPR après action plus élevé","OK")))))))))))))))))</f>
        <v/>
      </c>
      <c r="AC478" s="59" t="str">
        <f>IF(OR(AA478="En retard",AA478="Échéance proche",AA478="Dans les délais",AA478="Échéance manquante",AA478="Action à définir",AA478="À réévaluer"),IF(OR(plan_who="",P478=plan_who),IF(N(Q478)&gt;0,Q478,99999)*1000+ROW(),""),"")</f>
        <v/>
      </c>
      <c r="AD478" s="59" t="str">
        <f>IF(L478="","",L478*1000+1000-ROW())</f>
        <v/>
      </c>
      <c r="AE478" s="59" t="str">
        <f>IF(IF(AA478="En retard",1,IF(AA478="Action à définir",2,IF(AA478="Échéance manquante",3,IF(AA478="Échéance proche",4,IF(AA478="À réévaluer",5,0)))))=0,"",IF(AA478="En retard",1,IF(AA478="Action à définir",2,IF(AA478="Échéance manquante",3,IF(AA478="Échéance proche",4,IF(AA478="À réévaluer",5,0)))))*100000000+IF(N(Q478)&gt;0,Q478,99999)*1000+ROW())</f>
        <v/>
      </c>
      <c r="AF478" s="59" t="str">
        <f>IF(X478&lt;&gt;"",X478,L478)</f>
        <v/>
      </c>
      <c r="AG478" s="59" t="str">
        <f>IF(X478&lt;&gt;"",Y478,IF(L478&lt;&gt;"",M478,""))</f>
        <v/>
      </c>
      <c r="AH478" s="59" t="str">
        <f>IF(L478="","",IF(X478&lt;&gt;"",U478,F478))</f>
        <v/>
      </c>
      <c r="AI478" s="59" t="str">
        <f>IF(L478="","",IF(X478&lt;&gt;"",V478,H478))</f>
        <v/>
      </c>
    </row>
    <row r="479" ht="30" customHeight="1">
      <c r="A479" s="50" t="n"/>
      <c r="B479" s="51" t="n"/>
      <c r="C479" s="51" t="n"/>
      <c r="D479" s="51" t="n"/>
      <c r="E479" s="51" t="n"/>
      <c r="F479" s="52" t="n"/>
      <c r="G479" s="51" t="n"/>
      <c r="H479" s="52" t="n"/>
      <c r="I479" s="51" t="n"/>
      <c r="J479" s="51" t="n"/>
      <c r="K479" s="52" t="n"/>
      <c r="L479" s="53" t="str">
        <f>IF(AND(IF(ISNUMBER(F479),AND(F479&gt;=1,F479&lt;=10,F479=INT(F479)),FALSE),IF(ISNUMBER(H479),AND(H479&gt;=1,H479&lt;=10,H479=INT(H479)),FALSE),IF(ISNUMBER(K479),AND(K479&gt;=1,K479&lt;=10,K479=INT(K479)),FALSE)),F479*H479*K479,"")</f>
        <v/>
      </c>
      <c r="M479" s="54" t="str">
        <f>IF(L479="",IF(D479="","","À coter"),IF(OR(F479&gt;=p_gmin,L479&gt;=p_ipr_crit),"Critique",IF(L479&gt;=p_ipr_act,"Élevée",IF(L479&gt;=p_ipr_watch,"Moyenne","Faible"))))</f>
        <v/>
      </c>
      <c r="N479" s="54" t="str">
        <f>IF(OR(M479="",M479="À coter"),"",IF(OR(M479="Critique",M479="Élevée"),"Oui","Non"))</f>
        <v/>
      </c>
      <c r="O479" s="51" t="n"/>
      <c r="P479" s="51" t="n"/>
      <c r="Q479" s="55" t="n"/>
      <c r="R479" s="50" t="n"/>
      <c r="S479" s="55" t="n"/>
      <c r="T479" s="56" t="n"/>
      <c r="U479" s="52" t="n"/>
      <c r="V479" s="52" t="n"/>
      <c r="W479" s="52" t="n"/>
      <c r="X479" s="53" t="str">
        <f>IF(AND(L479&lt;&gt;"",IF(ISNUMBER(U479),AND(U479&gt;=1,U479&lt;=10,U479=INT(U479)),FALSE),IF(ISNUMBER(V479),AND(V479&gt;=1,V479&lt;=10,V479=INT(V479)),FALSE),IF(ISNUMBER(W479),AND(W479&gt;=1,W479&lt;=10,W479=INT(W479)),FALSE)),U479*V479*W479,"")</f>
        <v/>
      </c>
      <c r="Y479" s="54" t="str">
        <f>IF(X479="","",IF(OR(U479&gt;=p_gmin,X479&gt;=p_ipr_crit),"Critique",IF(X479&gt;=p_ipr_act,"Élevée",IF(X479&gt;=p_ipr_watch,"Moyenne","Faible"))))</f>
        <v/>
      </c>
      <c r="Z479" s="57" t="str">
        <f>IF(X479="","",(L479-X479)/L479)</f>
        <v/>
      </c>
      <c r="AA479" s="54" t="str">
        <f>IF(AND(D479="",O479=""),"",IF(O479="",IF(N479="Oui","Action à définir",IF(N479="Non","Sans action","")),IF(R479="Annulée","Annulée",IF(R479="Réalisée",IF(X479="","À réévaluer","Réalisée"),IF(N(Q479)=0,"Échéance manquante",IF(Q479&lt;p_today,"En retard",IF(Q479-p_today&lt;=p_alert,"Échéance proche","Dans les délais")))))))</f>
        <v/>
      </c>
      <c r="AB479" s="58" t="str">
        <f>IF(AND(A479="",B479="",D479="",F479="",H479="",K479="",O479=""),"",IF(D479="","Mode de défaillance manquant",IF(AND(A479&lt;&gt;"",COUNTIF(am_num,A479)&gt;1),"N° en double",IF(F479="","Gravité G manquante",IF(NOT(IF(ISNUMBER(F479),AND(F479&gt;=1,F479&lt;=10,F479=INT(F479)),FALSE)),"G : entier de 1 à 10",IF(H479="","Occurrence O manquante",IF(NOT(IF(ISNUMBER(H479),AND(H479&gt;=1,H479&lt;=10,H479=INT(H479)),FALSE)),"O : entier de 1 à 10",IF(K479="","Détection D manquante",IF(NOT(IF(ISNUMBER(K479),AND(K479&gt;=1,K479&lt;=10,K479=INT(K479)),FALSE)),"D : entier de 1 à 10",IF(G479="","Cause manquante",IF(AND(O479&lt;&gt;"",P479=""),"Responsable manquant",IF(AND(R479&lt;&gt;"",O479=""),"Statut sans action",IF(AND(R479="Réalisée",N(S479)=0),"Date de réalisation manquante",IF(AND(T479&lt;&gt;"",IF(ISNUMBER(T479),T479&lt;0,TRUE)),"Coût invalide",IF(AND(COUNTBLANK(U479:W479)&gt;0,COUNTBLANK(U479:W479)&lt;3),"Cotation après action incomplète",IF(AND(COUNTBLANK(U479:W479)=0,X479=""),"G', O', D' : entiers de 1 à 10",IF(AND(X479&lt;&gt;"",X479&gt;L479),"IPR après action plus élevé","OK")))))))))))))))))</f>
        <v/>
      </c>
      <c r="AC479" s="59" t="str">
        <f>IF(OR(AA479="En retard",AA479="Échéance proche",AA479="Dans les délais",AA479="Échéance manquante",AA479="Action à définir",AA479="À réévaluer"),IF(OR(plan_who="",P479=plan_who),IF(N(Q479)&gt;0,Q479,99999)*1000+ROW(),""),"")</f>
        <v/>
      </c>
      <c r="AD479" s="59" t="str">
        <f>IF(L479="","",L479*1000+1000-ROW())</f>
        <v/>
      </c>
      <c r="AE479" s="59" t="str">
        <f>IF(IF(AA479="En retard",1,IF(AA479="Action à définir",2,IF(AA479="Échéance manquante",3,IF(AA479="Échéance proche",4,IF(AA479="À réévaluer",5,0)))))=0,"",IF(AA479="En retard",1,IF(AA479="Action à définir",2,IF(AA479="Échéance manquante",3,IF(AA479="Échéance proche",4,IF(AA479="À réévaluer",5,0)))))*100000000+IF(N(Q479)&gt;0,Q479,99999)*1000+ROW())</f>
        <v/>
      </c>
      <c r="AF479" s="59" t="str">
        <f>IF(X479&lt;&gt;"",X479,L479)</f>
        <v/>
      </c>
      <c r="AG479" s="59" t="str">
        <f>IF(X479&lt;&gt;"",Y479,IF(L479&lt;&gt;"",M479,""))</f>
        <v/>
      </c>
      <c r="AH479" s="59" t="str">
        <f>IF(L479="","",IF(X479&lt;&gt;"",U479,F479))</f>
        <v/>
      </c>
      <c r="AI479" s="59" t="str">
        <f>IF(L479="","",IF(X479&lt;&gt;"",V479,H479))</f>
        <v/>
      </c>
    </row>
    <row r="480" ht="30" customHeight="1">
      <c r="A480" s="50" t="n"/>
      <c r="B480" s="51" t="n"/>
      <c r="C480" s="51" t="n"/>
      <c r="D480" s="51" t="n"/>
      <c r="E480" s="51" t="n"/>
      <c r="F480" s="52" t="n"/>
      <c r="G480" s="51" t="n"/>
      <c r="H480" s="52" t="n"/>
      <c r="I480" s="51" t="n"/>
      <c r="J480" s="51" t="n"/>
      <c r="K480" s="52" t="n"/>
      <c r="L480" s="53" t="str">
        <f>IF(AND(IF(ISNUMBER(F480),AND(F480&gt;=1,F480&lt;=10,F480=INT(F480)),FALSE),IF(ISNUMBER(H480),AND(H480&gt;=1,H480&lt;=10,H480=INT(H480)),FALSE),IF(ISNUMBER(K480),AND(K480&gt;=1,K480&lt;=10,K480=INT(K480)),FALSE)),F480*H480*K480,"")</f>
        <v/>
      </c>
      <c r="M480" s="54" t="str">
        <f>IF(L480="",IF(D480="","","À coter"),IF(OR(F480&gt;=p_gmin,L480&gt;=p_ipr_crit),"Critique",IF(L480&gt;=p_ipr_act,"Élevée",IF(L480&gt;=p_ipr_watch,"Moyenne","Faible"))))</f>
        <v/>
      </c>
      <c r="N480" s="54" t="str">
        <f>IF(OR(M480="",M480="À coter"),"",IF(OR(M480="Critique",M480="Élevée"),"Oui","Non"))</f>
        <v/>
      </c>
      <c r="O480" s="51" t="n"/>
      <c r="P480" s="51" t="n"/>
      <c r="Q480" s="55" t="n"/>
      <c r="R480" s="50" t="n"/>
      <c r="S480" s="55" t="n"/>
      <c r="T480" s="56" t="n"/>
      <c r="U480" s="52" t="n"/>
      <c r="V480" s="52" t="n"/>
      <c r="W480" s="52" t="n"/>
      <c r="X480" s="53" t="str">
        <f>IF(AND(L480&lt;&gt;"",IF(ISNUMBER(U480),AND(U480&gt;=1,U480&lt;=10,U480=INT(U480)),FALSE),IF(ISNUMBER(V480),AND(V480&gt;=1,V480&lt;=10,V480=INT(V480)),FALSE),IF(ISNUMBER(W480),AND(W480&gt;=1,W480&lt;=10,W480=INT(W480)),FALSE)),U480*V480*W480,"")</f>
        <v/>
      </c>
      <c r="Y480" s="54" t="str">
        <f>IF(X480="","",IF(OR(U480&gt;=p_gmin,X480&gt;=p_ipr_crit),"Critique",IF(X480&gt;=p_ipr_act,"Élevée",IF(X480&gt;=p_ipr_watch,"Moyenne","Faible"))))</f>
        <v/>
      </c>
      <c r="Z480" s="57" t="str">
        <f>IF(X480="","",(L480-X480)/L480)</f>
        <v/>
      </c>
      <c r="AA480" s="54" t="str">
        <f>IF(AND(D480="",O480=""),"",IF(O480="",IF(N480="Oui","Action à définir",IF(N480="Non","Sans action","")),IF(R480="Annulée","Annulée",IF(R480="Réalisée",IF(X480="","À réévaluer","Réalisée"),IF(N(Q480)=0,"Échéance manquante",IF(Q480&lt;p_today,"En retard",IF(Q480-p_today&lt;=p_alert,"Échéance proche","Dans les délais")))))))</f>
        <v/>
      </c>
      <c r="AB480" s="58" t="str">
        <f>IF(AND(A480="",B480="",D480="",F480="",H480="",K480="",O480=""),"",IF(D480="","Mode de défaillance manquant",IF(AND(A480&lt;&gt;"",COUNTIF(am_num,A480)&gt;1),"N° en double",IF(F480="","Gravité G manquante",IF(NOT(IF(ISNUMBER(F480),AND(F480&gt;=1,F480&lt;=10,F480=INT(F480)),FALSE)),"G : entier de 1 à 10",IF(H480="","Occurrence O manquante",IF(NOT(IF(ISNUMBER(H480),AND(H480&gt;=1,H480&lt;=10,H480=INT(H480)),FALSE)),"O : entier de 1 à 10",IF(K480="","Détection D manquante",IF(NOT(IF(ISNUMBER(K480),AND(K480&gt;=1,K480&lt;=10,K480=INT(K480)),FALSE)),"D : entier de 1 à 10",IF(G480="","Cause manquante",IF(AND(O480&lt;&gt;"",P480=""),"Responsable manquant",IF(AND(R480&lt;&gt;"",O480=""),"Statut sans action",IF(AND(R480="Réalisée",N(S480)=0),"Date de réalisation manquante",IF(AND(T480&lt;&gt;"",IF(ISNUMBER(T480),T480&lt;0,TRUE)),"Coût invalide",IF(AND(COUNTBLANK(U480:W480)&gt;0,COUNTBLANK(U480:W480)&lt;3),"Cotation après action incomplète",IF(AND(COUNTBLANK(U480:W480)=0,X480=""),"G', O', D' : entiers de 1 à 10",IF(AND(X480&lt;&gt;"",X480&gt;L480),"IPR après action plus élevé","OK")))))))))))))))))</f>
        <v/>
      </c>
      <c r="AC480" s="59" t="str">
        <f>IF(OR(AA480="En retard",AA480="Échéance proche",AA480="Dans les délais",AA480="Échéance manquante",AA480="Action à définir",AA480="À réévaluer"),IF(OR(plan_who="",P480=plan_who),IF(N(Q480)&gt;0,Q480,99999)*1000+ROW(),""),"")</f>
        <v/>
      </c>
      <c r="AD480" s="59" t="str">
        <f>IF(L480="","",L480*1000+1000-ROW())</f>
        <v/>
      </c>
      <c r="AE480" s="59" t="str">
        <f>IF(IF(AA480="En retard",1,IF(AA480="Action à définir",2,IF(AA480="Échéance manquante",3,IF(AA480="Échéance proche",4,IF(AA480="À réévaluer",5,0)))))=0,"",IF(AA480="En retard",1,IF(AA480="Action à définir",2,IF(AA480="Échéance manquante",3,IF(AA480="Échéance proche",4,IF(AA480="À réévaluer",5,0)))))*100000000+IF(N(Q480)&gt;0,Q480,99999)*1000+ROW())</f>
        <v/>
      </c>
      <c r="AF480" s="59" t="str">
        <f>IF(X480&lt;&gt;"",X480,L480)</f>
        <v/>
      </c>
      <c r="AG480" s="59" t="str">
        <f>IF(X480&lt;&gt;"",Y480,IF(L480&lt;&gt;"",M480,""))</f>
        <v/>
      </c>
      <c r="AH480" s="59" t="str">
        <f>IF(L480="","",IF(X480&lt;&gt;"",U480,F480))</f>
        <v/>
      </c>
      <c r="AI480" s="59" t="str">
        <f>IF(L480="","",IF(X480&lt;&gt;"",V480,H480))</f>
        <v/>
      </c>
    </row>
    <row r="481" ht="30" customHeight="1">
      <c r="A481" s="50" t="n"/>
      <c r="B481" s="51" t="n"/>
      <c r="C481" s="51" t="n"/>
      <c r="D481" s="51" t="n"/>
      <c r="E481" s="51" t="n"/>
      <c r="F481" s="52" t="n"/>
      <c r="G481" s="51" t="n"/>
      <c r="H481" s="52" t="n"/>
      <c r="I481" s="51" t="n"/>
      <c r="J481" s="51" t="n"/>
      <c r="K481" s="52" t="n"/>
      <c r="L481" s="53" t="str">
        <f>IF(AND(IF(ISNUMBER(F481),AND(F481&gt;=1,F481&lt;=10,F481=INT(F481)),FALSE),IF(ISNUMBER(H481),AND(H481&gt;=1,H481&lt;=10,H481=INT(H481)),FALSE),IF(ISNUMBER(K481),AND(K481&gt;=1,K481&lt;=10,K481=INT(K481)),FALSE)),F481*H481*K481,"")</f>
        <v/>
      </c>
      <c r="M481" s="54" t="str">
        <f>IF(L481="",IF(D481="","","À coter"),IF(OR(F481&gt;=p_gmin,L481&gt;=p_ipr_crit),"Critique",IF(L481&gt;=p_ipr_act,"Élevée",IF(L481&gt;=p_ipr_watch,"Moyenne","Faible"))))</f>
        <v/>
      </c>
      <c r="N481" s="54" t="str">
        <f>IF(OR(M481="",M481="À coter"),"",IF(OR(M481="Critique",M481="Élevée"),"Oui","Non"))</f>
        <v/>
      </c>
      <c r="O481" s="51" t="n"/>
      <c r="P481" s="51" t="n"/>
      <c r="Q481" s="55" t="n"/>
      <c r="R481" s="50" t="n"/>
      <c r="S481" s="55" t="n"/>
      <c r="T481" s="56" t="n"/>
      <c r="U481" s="52" t="n"/>
      <c r="V481" s="52" t="n"/>
      <c r="W481" s="52" t="n"/>
      <c r="X481" s="53" t="str">
        <f>IF(AND(L481&lt;&gt;"",IF(ISNUMBER(U481),AND(U481&gt;=1,U481&lt;=10,U481=INT(U481)),FALSE),IF(ISNUMBER(V481),AND(V481&gt;=1,V481&lt;=10,V481=INT(V481)),FALSE),IF(ISNUMBER(W481),AND(W481&gt;=1,W481&lt;=10,W481=INT(W481)),FALSE)),U481*V481*W481,"")</f>
        <v/>
      </c>
      <c r="Y481" s="54" t="str">
        <f>IF(X481="","",IF(OR(U481&gt;=p_gmin,X481&gt;=p_ipr_crit),"Critique",IF(X481&gt;=p_ipr_act,"Élevée",IF(X481&gt;=p_ipr_watch,"Moyenne","Faible"))))</f>
        <v/>
      </c>
      <c r="Z481" s="57" t="str">
        <f>IF(X481="","",(L481-X481)/L481)</f>
        <v/>
      </c>
      <c r="AA481" s="54" t="str">
        <f>IF(AND(D481="",O481=""),"",IF(O481="",IF(N481="Oui","Action à définir",IF(N481="Non","Sans action","")),IF(R481="Annulée","Annulée",IF(R481="Réalisée",IF(X481="","À réévaluer","Réalisée"),IF(N(Q481)=0,"Échéance manquante",IF(Q481&lt;p_today,"En retard",IF(Q481-p_today&lt;=p_alert,"Échéance proche","Dans les délais")))))))</f>
        <v/>
      </c>
      <c r="AB481" s="58" t="str">
        <f>IF(AND(A481="",B481="",D481="",F481="",H481="",K481="",O481=""),"",IF(D481="","Mode de défaillance manquant",IF(AND(A481&lt;&gt;"",COUNTIF(am_num,A481)&gt;1),"N° en double",IF(F481="","Gravité G manquante",IF(NOT(IF(ISNUMBER(F481),AND(F481&gt;=1,F481&lt;=10,F481=INT(F481)),FALSE)),"G : entier de 1 à 10",IF(H481="","Occurrence O manquante",IF(NOT(IF(ISNUMBER(H481),AND(H481&gt;=1,H481&lt;=10,H481=INT(H481)),FALSE)),"O : entier de 1 à 10",IF(K481="","Détection D manquante",IF(NOT(IF(ISNUMBER(K481),AND(K481&gt;=1,K481&lt;=10,K481=INT(K481)),FALSE)),"D : entier de 1 à 10",IF(G481="","Cause manquante",IF(AND(O481&lt;&gt;"",P481=""),"Responsable manquant",IF(AND(R481&lt;&gt;"",O481=""),"Statut sans action",IF(AND(R481="Réalisée",N(S481)=0),"Date de réalisation manquante",IF(AND(T481&lt;&gt;"",IF(ISNUMBER(T481),T481&lt;0,TRUE)),"Coût invalide",IF(AND(COUNTBLANK(U481:W481)&gt;0,COUNTBLANK(U481:W481)&lt;3),"Cotation après action incomplète",IF(AND(COUNTBLANK(U481:W481)=0,X481=""),"G', O', D' : entiers de 1 à 10",IF(AND(X481&lt;&gt;"",X481&gt;L481),"IPR après action plus élevé","OK")))))))))))))))))</f>
        <v/>
      </c>
      <c r="AC481" s="59" t="str">
        <f>IF(OR(AA481="En retard",AA481="Échéance proche",AA481="Dans les délais",AA481="Échéance manquante",AA481="Action à définir",AA481="À réévaluer"),IF(OR(plan_who="",P481=plan_who),IF(N(Q481)&gt;0,Q481,99999)*1000+ROW(),""),"")</f>
        <v/>
      </c>
      <c r="AD481" s="59" t="str">
        <f>IF(L481="","",L481*1000+1000-ROW())</f>
        <v/>
      </c>
      <c r="AE481" s="59" t="str">
        <f>IF(IF(AA481="En retard",1,IF(AA481="Action à définir",2,IF(AA481="Échéance manquante",3,IF(AA481="Échéance proche",4,IF(AA481="À réévaluer",5,0)))))=0,"",IF(AA481="En retard",1,IF(AA481="Action à définir",2,IF(AA481="Échéance manquante",3,IF(AA481="Échéance proche",4,IF(AA481="À réévaluer",5,0)))))*100000000+IF(N(Q481)&gt;0,Q481,99999)*1000+ROW())</f>
        <v/>
      </c>
      <c r="AF481" s="59" t="str">
        <f>IF(X481&lt;&gt;"",X481,L481)</f>
        <v/>
      </c>
      <c r="AG481" s="59" t="str">
        <f>IF(X481&lt;&gt;"",Y481,IF(L481&lt;&gt;"",M481,""))</f>
        <v/>
      </c>
      <c r="AH481" s="59" t="str">
        <f>IF(L481="","",IF(X481&lt;&gt;"",U481,F481))</f>
        <v/>
      </c>
      <c r="AI481" s="59" t="str">
        <f>IF(L481="","",IF(X481&lt;&gt;"",V481,H481))</f>
        <v/>
      </c>
    </row>
    <row r="482" ht="30" customHeight="1">
      <c r="A482" s="50" t="n"/>
      <c r="B482" s="51" t="n"/>
      <c r="C482" s="51" t="n"/>
      <c r="D482" s="51" t="n"/>
      <c r="E482" s="51" t="n"/>
      <c r="F482" s="52" t="n"/>
      <c r="G482" s="51" t="n"/>
      <c r="H482" s="52" t="n"/>
      <c r="I482" s="51" t="n"/>
      <c r="J482" s="51" t="n"/>
      <c r="K482" s="52" t="n"/>
      <c r="L482" s="53" t="str">
        <f>IF(AND(IF(ISNUMBER(F482),AND(F482&gt;=1,F482&lt;=10,F482=INT(F482)),FALSE),IF(ISNUMBER(H482),AND(H482&gt;=1,H482&lt;=10,H482=INT(H482)),FALSE),IF(ISNUMBER(K482),AND(K482&gt;=1,K482&lt;=10,K482=INT(K482)),FALSE)),F482*H482*K482,"")</f>
        <v/>
      </c>
      <c r="M482" s="54" t="str">
        <f>IF(L482="",IF(D482="","","À coter"),IF(OR(F482&gt;=p_gmin,L482&gt;=p_ipr_crit),"Critique",IF(L482&gt;=p_ipr_act,"Élevée",IF(L482&gt;=p_ipr_watch,"Moyenne","Faible"))))</f>
        <v/>
      </c>
      <c r="N482" s="54" t="str">
        <f>IF(OR(M482="",M482="À coter"),"",IF(OR(M482="Critique",M482="Élevée"),"Oui","Non"))</f>
        <v/>
      </c>
      <c r="O482" s="51" t="n"/>
      <c r="P482" s="51" t="n"/>
      <c r="Q482" s="55" t="n"/>
      <c r="R482" s="50" t="n"/>
      <c r="S482" s="55" t="n"/>
      <c r="T482" s="56" t="n"/>
      <c r="U482" s="52" t="n"/>
      <c r="V482" s="52" t="n"/>
      <c r="W482" s="52" t="n"/>
      <c r="X482" s="53" t="str">
        <f>IF(AND(L482&lt;&gt;"",IF(ISNUMBER(U482),AND(U482&gt;=1,U482&lt;=10,U482=INT(U482)),FALSE),IF(ISNUMBER(V482),AND(V482&gt;=1,V482&lt;=10,V482=INT(V482)),FALSE),IF(ISNUMBER(W482),AND(W482&gt;=1,W482&lt;=10,W482=INT(W482)),FALSE)),U482*V482*W482,"")</f>
        <v/>
      </c>
      <c r="Y482" s="54" t="str">
        <f>IF(X482="","",IF(OR(U482&gt;=p_gmin,X482&gt;=p_ipr_crit),"Critique",IF(X482&gt;=p_ipr_act,"Élevée",IF(X482&gt;=p_ipr_watch,"Moyenne","Faible"))))</f>
        <v/>
      </c>
      <c r="Z482" s="57" t="str">
        <f>IF(X482="","",(L482-X482)/L482)</f>
        <v/>
      </c>
      <c r="AA482" s="54" t="str">
        <f>IF(AND(D482="",O482=""),"",IF(O482="",IF(N482="Oui","Action à définir",IF(N482="Non","Sans action","")),IF(R482="Annulée","Annulée",IF(R482="Réalisée",IF(X482="","À réévaluer","Réalisée"),IF(N(Q482)=0,"Échéance manquante",IF(Q482&lt;p_today,"En retard",IF(Q482-p_today&lt;=p_alert,"Échéance proche","Dans les délais")))))))</f>
        <v/>
      </c>
      <c r="AB482" s="58" t="str">
        <f>IF(AND(A482="",B482="",D482="",F482="",H482="",K482="",O482=""),"",IF(D482="","Mode de défaillance manquant",IF(AND(A482&lt;&gt;"",COUNTIF(am_num,A482)&gt;1),"N° en double",IF(F482="","Gravité G manquante",IF(NOT(IF(ISNUMBER(F482),AND(F482&gt;=1,F482&lt;=10,F482=INT(F482)),FALSE)),"G : entier de 1 à 10",IF(H482="","Occurrence O manquante",IF(NOT(IF(ISNUMBER(H482),AND(H482&gt;=1,H482&lt;=10,H482=INT(H482)),FALSE)),"O : entier de 1 à 10",IF(K482="","Détection D manquante",IF(NOT(IF(ISNUMBER(K482),AND(K482&gt;=1,K482&lt;=10,K482=INT(K482)),FALSE)),"D : entier de 1 à 10",IF(G482="","Cause manquante",IF(AND(O482&lt;&gt;"",P482=""),"Responsable manquant",IF(AND(R482&lt;&gt;"",O482=""),"Statut sans action",IF(AND(R482="Réalisée",N(S482)=0),"Date de réalisation manquante",IF(AND(T482&lt;&gt;"",IF(ISNUMBER(T482),T482&lt;0,TRUE)),"Coût invalide",IF(AND(COUNTBLANK(U482:W482)&gt;0,COUNTBLANK(U482:W482)&lt;3),"Cotation après action incomplète",IF(AND(COUNTBLANK(U482:W482)=0,X482=""),"G', O', D' : entiers de 1 à 10",IF(AND(X482&lt;&gt;"",X482&gt;L482),"IPR après action plus élevé","OK")))))))))))))))))</f>
        <v/>
      </c>
      <c r="AC482" s="59" t="str">
        <f>IF(OR(AA482="En retard",AA482="Échéance proche",AA482="Dans les délais",AA482="Échéance manquante",AA482="Action à définir",AA482="À réévaluer"),IF(OR(plan_who="",P482=plan_who),IF(N(Q482)&gt;0,Q482,99999)*1000+ROW(),""),"")</f>
        <v/>
      </c>
      <c r="AD482" s="59" t="str">
        <f>IF(L482="","",L482*1000+1000-ROW())</f>
        <v/>
      </c>
      <c r="AE482" s="59" t="str">
        <f>IF(IF(AA482="En retard",1,IF(AA482="Action à définir",2,IF(AA482="Échéance manquante",3,IF(AA482="Échéance proche",4,IF(AA482="À réévaluer",5,0)))))=0,"",IF(AA482="En retard",1,IF(AA482="Action à définir",2,IF(AA482="Échéance manquante",3,IF(AA482="Échéance proche",4,IF(AA482="À réévaluer",5,0)))))*100000000+IF(N(Q482)&gt;0,Q482,99999)*1000+ROW())</f>
        <v/>
      </c>
      <c r="AF482" s="59" t="str">
        <f>IF(X482&lt;&gt;"",X482,L482)</f>
        <v/>
      </c>
      <c r="AG482" s="59" t="str">
        <f>IF(X482&lt;&gt;"",Y482,IF(L482&lt;&gt;"",M482,""))</f>
        <v/>
      </c>
      <c r="AH482" s="59" t="str">
        <f>IF(L482="","",IF(X482&lt;&gt;"",U482,F482))</f>
        <v/>
      </c>
      <c r="AI482" s="59" t="str">
        <f>IF(L482="","",IF(X482&lt;&gt;"",V482,H482))</f>
        <v/>
      </c>
    </row>
    <row r="483" ht="30" customHeight="1">
      <c r="A483" s="50" t="n"/>
      <c r="B483" s="51" t="n"/>
      <c r="C483" s="51" t="n"/>
      <c r="D483" s="51" t="n"/>
      <c r="E483" s="51" t="n"/>
      <c r="F483" s="52" t="n"/>
      <c r="G483" s="51" t="n"/>
      <c r="H483" s="52" t="n"/>
      <c r="I483" s="51" t="n"/>
      <c r="J483" s="51" t="n"/>
      <c r="K483" s="52" t="n"/>
      <c r="L483" s="53" t="str">
        <f>IF(AND(IF(ISNUMBER(F483),AND(F483&gt;=1,F483&lt;=10,F483=INT(F483)),FALSE),IF(ISNUMBER(H483),AND(H483&gt;=1,H483&lt;=10,H483=INT(H483)),FALSE),IF(ISNUMBER(K483),AND(K483&gt;=1,K483&lt;=10,K483=INT(K483)),FALSE)),F483*H483*K483,"")</f>
        <v/>
      </c>
      <c r="M483" s="54" t="str">
        <f>IF(L483="",IF(D483="","","À coter"),IF(OR(F483&gt;=p_gmin,L483&gt;=p_ipr_crit),"Critique",IF(L483&gt;=p_ipr_act,"Élevée",IF(L483&gt;=p_ipr_watch,"Moyenne","Faible"))))</f>
        <v/>
      </c>
      <c r="N483" s="54" t="str">
        <f>IF(OR(M483="",M483="À coter"),"",IF(OR(M483="Critique",M483="Élevée"),"Oui","Non"))</f>
        <v/>
      </c>
      <c r="O483" s="51" t="n"/>
      <c r="P483" s="51" t="n"/>
      <c r="Q483" s="55" t="n"/>
      <c r="R483" s="50" t="n"/>
      <c r="S483" s="55" t="n"/>
      <c r="T483" s="56" t="n"/>
      <c r="U483" s="52" t="n"/>
      <c r="V483" s="52" t="n"/>
      <c r="W483" s="52" t="n"/>
      <c r="X483" s="53" t="str">
        <f>IF(AND(L483&lt;&gt;"",IF(ISNUMBER(U483),AND(U483&gt;=1,U483&lt;=10,U483=INT(U483)),FALSE),IF(ISNUMBER(V483),AND(V483&gt;=1,V483&lt;=10,V483=INT(V483)),FALSE),IF(ISNUMBER(W483),AND(W483&gt;=1,W483&lt;=10,W483=INT(W483)),FALSE)),U483*V483*W483,"")</f>
        <v/>
      </c>
      <c r="Y483" s="54" t="str">
        <f>IF(X483="","",IF(OR(U483&gt;=p_gmin,X483&gt;=p_ipr_crit),"Critique",IF(X483&gt;=p_ipr_act,"Élevée",IF(X483&gt;=p_ipr_watch,"Moyenne","Faible"))))</f>
        <v/>
      </c>
      <c r="Z483" s="57" t="str">
        <f>IF(X483="","",(L483-X483)/L483)</f>
        <v/>
      </c>
      <c r="AA483" s="54" t="str">
        <f>IF(AND(D483="",O483=""),"",IF(O483="",IF(N483="Oui","Action à définir",IF(N483="Non","Sans action","")),IF(R483="Annulée","Annulée",IF(R483="Réalisée",IF(X483="","À réévaluer","Réalisée"),IF(N(Q483)=0,"Échéance manquante",IF(Q483&lt;p_today,"En retard",IF(Q483-p_today&lt;=p_alert,"Échéance proche","Dans les délais")))))))</f>
        <v/>
      </c>
      <c r="AB483" s="58" t="str">
        <f>IF(AND(A483="",B483="",D483="",F483="",H483="",K483="",O483=""),"",IF(D483="","Mode de défaillance manquant",IF(AND(A483&lt;&gt;"",COUNTIF(am_num,A483)&gt;1),"N° en double",IF(F483="","Gravité G manquante",IF(NOT(IF(ISNUMBER(F483),AND(F483&gt;=1,F483&lt;=10,F483=INT(F483)),FALSE)),"G : entier de 1 à 10",IF(H483="","Occurrence O manquante",IF(NOT(IF(ISNUMBER(H483),AND(H483&gt;=1,H483&lt;=10,H483=INT(H483)),FALSE)),"O : entier de 1 à 10",IF(K483="","Détection D manquante",IF(NOT(IF(ISNUMBER(K483),AND(K483&gt;=1,K483&lt;=10,K483=INT(K483)),FALSE)),"D : entier de 1 à 10",IF(G483="","Cause manquante",IF(AND(O483&lt;&gt;"",P483=""),"Responsable manquant",IF(AND(R483&lt;&gt;"",O483=""),"Statut sans action",IF(AND(R483="Réalisée",N(S483)=0),"Date de réalisation manquante",IF(AND(T483&lt;&gt;"",IF(ISNUMBER(T483),T483&lt;0,TRUE)),"Coût invalide",IF(AND(COUNTBLANK(U483:W483)&gt;0,COUNTBLANK(U483:W483)&lt;3),"Cotation après action incomplète",IF(AND(COUNTBLANK(U483:W483)=0,X483=""),"G', O', D' : entiers de 1 à 10",IF(AND(X483&lt;&gt;"",X483&gt;L483),"IPR après action plus élevé","OK")))))))))))))))))</f>
        <v/>
      </c>
      <c r="AC483" s="59" t="str">
        <f>IF(OR(AA483="En retard",AA483="Échéance proche",AA483="Dans les délais",AA483="Échéance manquante",AA483="Action à définir",AA483="À réévaluer"),IF(OR(plan_who="",P483=plan_who),IF(N(Q483)&gt;0,Q483,99999)*1000+ROW(),""),"")</f>
        <v/>
      </c>
      <c r="AD483" s="59" t="str">
        <f>IF(L483="","",L483*1000+1000-ROW())</f>
        <v/>
      </c>
      <c r="AE483" s="59" t="str">
        <f>IF(IF(AA483="En retard",1,IF(AA483="Action à définir",2,IF(AA483="Échéance manquante",3,IF(AA483="Échéance proche",4,IF(AA483="À réévaluer",5,0)))))=0,"",IF(AA483="En retard",1,IF(AA483="Action à définir",2,IF(AA483="Échéance manquante",3,IF(AA483="Échéance proche",4,IF(AA483="À réévaluer",5,0)))))*100000000+IF(N(Q483)&gt;0,Q483,99999)*1000+ROW())</f>
        <v/>
      </c>
      <c r="AF483" s="59" t="str">
        <f>IF(X483&lt;&gt;"",X483,L483)</f>
        <v/>
      </c>
      <c r="AG483" s="59" t="str">
        <f>IF(X483&lt;&gt;"",Y483,IF(L483&lt;&gt;"",M483,""))</f>
        <v/>
      </c>
      <c r="AH483" s="59" t="str">
        <f>IF(L483="","",IF(X483&lt;&gt;"",U483,F483))</f>
        <v/>
      </c>
      <c r="AI483" s="59" t="str">
        <f>IF(L483="","",IF(X483&lt;&gt;"",V483,H483))</f>
        <v/>
      </c>
    </row>
    <row r="484" ht="30" customHeight="1">
      <c r="A484" s="50" t="n"/>
      <c r="B484" s="51" t="n"/>
      <c r="C484" s="51" t="n"/>
      <c r="D484" s="51" t="n"/>
      <c r="E484" s="51" t="n"/>
      <c r="F484" s="52" t="n"/>
      <c r="G484" s="51" t="n"/>
      <c r="H484" s="52" t="n"/>
      <c r="I484" s="51" t="n"/>
      <c r="J484" s="51" t="n"/>
      <c r="K484" s="52" t="n"/>
      <c r="L484" s="53" t="str">
        <f>IF(AND(IF(ISNUMBER(F484),AND(F484&gt;=1,F484&lt;=10,F484=INT(F484)),FALSE),IF(ISNUMBER(H484),AND(H484&gt;=1,H484&lt;=10,H484=INT(H484)),FALSE),IF(ISNUMBER(K484),AND(K484&gt;=1,K484&lt;=10,K484=INT(K484)),FALSE)),F484*H484*K484,"")</f>
        <v/>
      </c>
      <c r="M484" s="54" t="str">
        <f>IF(L484="",IF(D484="","","À coter"),IF(OR(F484&gt;=p_gmin,L484&gt;=p_ipr_crit),"Critique",IF(L484&gt;=p_ipr_act,"Élevée",IF(L484&gt;=p_ipr_watch,"Moyenne","Faible"))))</f>
        <v/>
      </c>
      <c r="N484" s="54" t="str">
        <f>IF(OR(M484="",M484="À coter"),"",IF(OR(M484="Critique",M484="Élevée"),"Oui","Non"))</f>
        <v/>
      </c>
      <c r="O484" s="51" t="n"/>
      <c r="P484" s="51" t="n"/>
      <c r="Q484" s="55" t="n"/>
      <c r="R484" s="50" t="n"/>
      <c r="S484" s="55" t="n"/>
      <c r="T484" s="56" t="n"/>
      <c r="U484" s="52" t="n"/>
      <c r="V484" s="52" t="n"/>
      <c r="W484" s="52" t="n"/>
      <c r="X484" s="53" t="str">
        <f>IF(AND(L484&lt;&gt;"",IF(ISNUMBER(U484),AND(U484&gt;=1,U484&lt;=10,U484=INT(U484)),FALSE),IF(ISNUMBER(V484),AND(V484&gt;=1,V484&lt;=10,V484=INT(V484)),FALSE),IF(ISNUMBER(W484),AND(W484&gt;=1,W484&lt;=10,W484=INT(W484)),FALSE)),U484*V484*W484,"")</f>
        <v/>
      </c>
      <c r="Y484" s="54" t="str">
        <f>IF(X484="","",IF(OR(U484&gt;=p_gmin,X484&gt;=p_ipr_crit),"Critique",IF(X484&gt;=p_ipr_act,"Élevée",IF(X484&gt;=p_ipr_watch,"Moyenne","Faible"))))</f>
        <v/>
      </c>
      <c r="Z484" s="57" t="str">
        <f>IF(X484="","",(L484-X484)/L484)</f>
        <v/>
      </c>
      <c r="AA484" s="54" t="str">
        <f>IF(AND(D484="",O484=""),"",IF(O484="",IF(N484="Oui","Action à définir",IF(N484="Non","Sans action","")),IF(R484="Annulée","Annulée",IF(R484="Réalisée",IF(X484="","À réévaluer","Réalisée"),IF(N(Q484)=0,"Échéance manquante",IF(Q484&lt;p_today,"En retard",IF(Q484-p_today&lt;=p_alert,"Échéance proche","Dans les délais")))))))</f>
        <v/>
      </c>
      <c r="AB484" s="58" t="str">
        <f>IF(AND(A484="",B484="",D484="",F484="",H484="",K484="",O484=""),"",IF(D484="","Mode de défaillance manquant",IF(AND(A484&lt;&gt;"",COUNTIF(am_num,A484)&gt;1),"N° en double",IF(F484="","Gravité G manquante",IF(NOT(IF(ISNUMBER(F484),AND(F484&gt;=1,F484&lt;=10,F484=INT(F484)),FALSE)),"G : entier de 1 à 10",IF(H484="","Occurrence O manquante",IF(NOT(IF(ISNUMBER(H484),AND(H484&gt;=1,H484&lt;=10,H484=INT(H484)),FALSE)),"O : entier de 1 à 10",IF(K484="","Détection D manquante",IF(NOT(IF(ISNUMBER(K484),AND(K484&gt;=1,K484&lt;=10,K484=INT(K484)),FALSE)),"D : entier de 1 à 10",IF(G484="","Cause manquante",IF(AND(O484&lt;&gt;"",P484=""),"Responsable manquant",IF(AND(R484&lt;&gt;"",O484=""),"Statut sans action",IF(AND(R484="Réalisée",N(S484)=0),"Date de réalisation manquante",IF(AND(T484&lt;&gt;"",IF(ISNUMBER(T484),T484&lt;0,TRUE)),"Coût invalide",IF(AND(COUNTBLANK(U484:W484)&gt;0,COUNTBLANK(U484:W484)&lt;3),"Cotation après action incomplète",IF(AND(COUNTBLANK(U484:W484)=0,X484=""),"G', O', D' : entiers de 1 à 10",IF(AND(X484&lt;&gt;"",X484&gt;L484),"IPR après action plus élevé","OK")))))))))))))))))</f>
        <v/>
      </c>
      <c r="AC484" s="59" t="str">
        <f>IF(OR(AA484="En retard",AA484="Échéance proche",AA484="Dans les délais",AA484="Échéance manquante",AA484="Action à définir",AA484="À réévaluer"),IF(OR(plan_who="",P484=plan_who),IF(N(Q484)&gt;0,Q484,99999)*1000+ROW(),""),"")</f>
        <v/>
      </c>
      <c r="AD484" s="59" t="str">
        <f>IF(L484="","",L484*1000+1000-ROW())</f>
        <v/>
      </c>
      <c r="AE484" s="59" t="str">
        <f>IF(IF(AA484="En retard",1,IF(AA484="Action à définir",2,IF(AA484="Échéance manquante",3,IF(AA484="Échéance proche",4,IF(AA484="À réévaluer",5,0)))))=0,"",IF(AA484="En retard",1,IF(AA484="Action à définir",2,IF(AA484="Échéance manquante",3,IF(AA484="Échéance proche",4,IF(AA484="À réévaluer",5,0)))))*100000000+IF(N(Q484)&gt;0,Q484,99999)*1000+ROW())</f>
        <v/>
      </c>
      <c r="AF484" s="59" t="str">
        <f>IF(X484&lt;&gt;"",X484,L484)</f>
        <v/>
      </c>
      <c r="AG484" s="59" t="str">
        <f>IF(X484&lt;&gt;"",Y484,IF(L484&lt;&gt;"",M484,""))</f>
        <v/>
      </c>
      <c r="AH484" s="59" t="str">
        <f>IF(L484="","",IF(X484&lt;&gt;"",U484,F484))</f>
        <v/>
      </c>
      <c r="AI484" s="59" t="str">
        <f>IF(L484="","",IF(X484&lt;&gt;"",V484,H484))</f>
        <v/>
      </c>
    </row>
    <row r="485" ht="30" customHeight="1">
      <c r="A485" s="50" t="n"/>
      <c r="B485" s="51" t="n"/>
      <c r="C485" s="51" t="n"/>
      <c r="D485" s="51" t="n"/>
      <c r="E485" s="51" t="n"/>
      <c r="F485" s="52" t="n"/>
      <c r="G485" s="51" t="n"/>
      <c r="H485" s="52" t="n"/>
      <c r="I485" s="51" t="n"/>
      <c r="J485" s="51" t="n"/>
      <c r="K485" s="52" t="n"/>
      <c r="L485" s="53" t="str">
        <f>IF(AND(IF(ISNUMBER(F485),AND(F485&gt;=1,F485&lt;=10,F485=INT(F485)),FALSE),IF(ISNUMBER(H485),AND(H485&gt;=1,H485&lt;=10,H485=INT(H485)),FALSE),IF(ISNUMBER(K485),AND(K485&gt;=1,K485&lt;=10,K485=INT(K485)),FALSE)),F485*H485*K485,"")</f>
        <v/>
      </c>
      <c r="M485" s="54" t="str">
        <f>IF(L485="",IF(D485="","","À coter"),IF(OR(F485&gt;=p_gmin,L485&gt;=p_ipr_crit),"Critique",IF(L485&gt;=p_ipr_act,"Élevée",IF(L485&gt;=p_ipr_watch,"Moyenne","Faible"))))</f>
        <v/>
      </c>
      <c r="N485" s="54" t="str">
        <f>IF(OR(M485="",M485="À coter"),"",IF(OR(M485="Critique",M485="Élevée"),"Oui","Non"))</f>
        <v/>
      </c>
      <c r="O485" s="51" t="n"/>
      <c r="P485" s="51" t="n"/>
      <c r="Q485" s="55" t="n"/>
      <c r="R485" s="50" t="n"/>
      <c r="S485" s="55" t="n"/>
      <c r="T485" s="56" t="n"/>
      <c r="U485" s="52" t="n"/>
      <c r="V485" s="52" t="n"/>
      <c r="W485" s="52" t="n"/>
      <c r="X485" s="53" t="str">
        <f>IF(AND(L485&lt;&gt;"",IF(ISNUMBER(U485),AND(U485&gt;=1,U485&lt;=10,U485=INT(U485)),FALSE),IF(ISNUMBER(V485),AND(V485&gt;=1,V485&lt;=10,V485=INT(V485)),FALSE),IF(ISNUMBER(W485),AND(W485&gt;=1,W485&lt;=10,W485=INT(W485)),FALSE)),U485*V485*W485,"")</f>
        <v/>
      </c>
      <c r="Y485" s="54" t="str">
        <f>IF(X485="","",IF(OR(U485&gt;=p_gmin,X485&gt;=p_ipr_crit),"Critique",IF(X485&gt;=p_ipr_act,"Élevée",IF(X485&gt;=p_ipr_watch,"Moyenne","Faible"))))</f>
        <v/>
      </c>
      <c r="Z485" s="57" t="str">
        <f>IF(X485="","",(L485-X485)/L485)</f>
        <v/>
      </c>
      <c r="AA485" s="54" t="str">
        <f>IF(AND(D485="",O485=""),"",IF(O485="",IF(N485="Oui","Action à définir",IF(N485="Non","Sans action","")),IF(R485="Annulée","Annulée",IF(R485="Réalisée",IF(X485="","À réévaluer","Réalisée"),IF(N(Q485)=0,"Échéance manquante",IF(Q485&lt;p_today,"En retard",IF(Q485-p_today&lt;=p_alert,"Échéance proche","Dans les délais")))))))</f>
        <v/>
      </c>
      <c r="AB485" s="58" t="str">
        <f>IF(AND(A485="",B485="",D485="",F485="",H485="",K485="",O485=""),"",IF(D485="","Mode de défaillance manquant",IF(AND(A485&lt;&gt;"",COUNTIF(am_num,A485)&gt;1),"N° en double",IF(F485="","Gravité G manquante",IF(NOT(IF(ISNUMBER(F485),AND(F485&gt;=1,F485&lt;=10,F485=INT(F485)),FALSE)),"G : entier de 1 à 10",IF(H485="","Occurrence O manquante",IF(NOT(IF(ISNUMBER(H485),AND(H485&gt;=1,H485&lt;=10,H485=INT(H485)),FALSE)),"O : entier de 1 à 10",IF(K485="","Détection D manquante",IF(NOT(IF(ISNUMBER(K485),AND(K485&gt;=1,K485&lt;=10,K485=INT(K485)),FALSE)),"D : entier de 1 à 10",IF(G485="","Cause manquante",IF(AND(O485&lt;&gt;"",P485=""),"Responsable manquant",IF(AND(R485&lt;&gt;"",O485=""),"Statut sans action",IF(AND(R485="Réalisée",N(S485)=0),"Date de réalisation manquante",IF(AND(T485&lt;&gt;"",IF(ISNUMBER(T485),T485&lt;0,TRUE)),"Coût invalide",IF(AND(COUNTBLANK(U485:W485)&gt;0,COUNTBLANK(U485:W485)&lt;3),"Cotation après action incomplète",IF(AND(COUNTBLANK(U485:W485)=0,X485=""),"G', O', D' : entiers de 1 à 10",IF(AND(X485&lt;&gt;"",X485&gt;L485),"IPR après action plus élevé","OK")))))))))))))))))</f>
        <v/>
      </c>
      <c r="AC485" s="59" t="str">
        <f>IF(OR(AA485="En retard",AA485="Échéance proche",AA485="Dans les délais",AA485="Échéance manquante",AA485="Action à définir",AA485="À réévaluer"),IF(OR(plan_who="",P485=plan_who),IF(N(Q485)&gt;0,Q485,99999)*1000+ROW(),""),"")</f>
        <v/>
      </c>
      <c r="AD485" s="59" t="str">
        <f>IF(L485="","",L485*1000+1000-ROW())</f>
        <v/>
      </c>
      <c r="AE485" s="59" t="str">
        <f>IF(IF(AA485="En retard",1,IF(AA485="Action à définir",2,IF(AA485="Échéance manquante",3,IF(AA485="Échéance proche",4,IF(AA485="À réévaluer",5,0)))))=0,"",IF(AA485="En retard",1,IF(AA485="Action à définir",2,IF(AA485="Échéance manquante",3,IF(AA485="Échéance proche",4,IF(AA485="À réévaluer",5,0)))))*100000000+IF(N(Q485)&gt;0,Q485,99999)*1000+ROW())</f>
        <v/>
      </c>
      <c r="AF485" s="59" t="str">
        <f>IF(X485&lt;&gt;"",X485,L485)</f>
        <v/>
      </c>
      <c r="AG485" s="59" t="str">
        <f>IF(X485&lt;&gt;"",Y485,IF(L485&lt;&gt;"",M485,""))</f>
        <v/>
      </c>
      <c r="AH485" s="59" t="str">
        <f>IF(L485="","",IF(X485&lt;&gt;"",U485,F485))</f>
        <v/>
      </c>
      <c r="AI485" s="59" t="str">
        <f>IF(L485="","",IF(X485&lt;&gt;"",V485,H485))</f>
        <v/>
      </c>
    </row>
    <row r="486" ht="30" customHeight="1">
      <c r="A486" s="50" t="n"/>
      <c r="B486" s="51" t="n"/>
      <c r="C486" s="51" t="n"/>
      <c r="D486" s="51" t="n"/>
      <c r="E486" s="51" t="n"/>
      <c r="F486" s="52" t="n"/>
      <c r="G486" s="51" t="n"/>
      <c r="H486" s="52" t="n"/>
      <c r="I486" s="51" t="n"/>
      <c r="J486" s="51" t="n"/>
      <c r="K486" s="52" t="n"/>
      <c r="L486" s="53" t="str">
        <f>IF(AND(IF(ISNUMBER(F486),AND(F486&gt;=1,F486&lt;=10,F486=INT(F486)),FALSE),IF(ISNUMBER(H486),AND(H486&gt;=1,H486&lt;=10,H486=INT(H486)),FALSE),IF(ISNUMBER(K486),AND(K486&gt;=1,K486&lt;=10,K486=INT(K486)),FALSE)),F486*H486*K486,"")</f>
        <v/>
      </c>
      <c r="M486" s="54" t="str">
        <f>IF(L486="",IF(D486="","","À coter"),IF(OR(F486&gt;=p_gmin,L486&gt;=p_ipr_crit),"Critique",IF(L486&gt;=p_ipr_act,"Élevée",IF(L486&gt;=p_ipr_watch,"Moyenne","Faible"))))</f>
        <v/>
      </c>
      <c r="N486" s="54" t="str">
        <f>IF(OR(M486="",M486="À coter"),"",IF(OR(M486="Critique",M486="Élevée"),"Oui","Non"))</f>
        <v/>
      </c>
      <c r="O486" s="51" t="n"/>
      <c r="P486" s="51" t="n"/>
      <c r="Q486" s="55" t="n"/>
      <c r="R486" s="50" t="n"/>
      <c r="S486" s="55" t="n"/>
      <c r="T486" s="56" t="n"/>
      <c r="U486" s="52" t="n"/>
      <c r="V486" s="52" t="n"/>
      <c r="W486" s="52" t="n"/>
      <c r="X486" s="53" t="str">
        <f>IF(AND(L486&lt;&gt;"",IF(ISNUMBER(U486),AND(U486&gt;=1,U486&lt;=10,U486=INT(U486)),FALSE),IF(ISNUMBER(V486),AND(V486&gt;=1,V486&lt;=10,V486=INT(V486)),FALSE),IF(ISNUMBER(W486),AND(W486&gt;=1,W486&lt;=10,W486=INT(W486)),FALSE)),U486*V486*W486,"")</f>
        <v/>
      </c>
      <c r="Y486" s="54" t="str">
        <f>IF(X486="","",IF(OR(U486&gt;=p_gmin,X486&gt;=p_ipr_crit),"Critique",IF(X486&gt;=p_ipr_act,"Élevée",IF(X486&gt;=p_ipr_watch,"Moyenne","Faible"))))</f>
        <v/>
      </c>
      <c r="Z486" s="57" t="str">
        <f>IF(X486="","",(L486-X486)/L486)</f>
        <v/>
      </c>
      <c r="AA486" s="54" t="str">
        <f>IF(AND(D486="",O486=""),"",IF(O486="",IF(N486="Oui","Action à définir",IF(N486="Non","Sans action","")),IF(R486="Annulée","Annulée",IF(R486="Réalisée",IF(X486="","À réévaluer","Réalisée"),IF(N(Q486)=0,"Échéance manquante",IF(Q486&lt;p_today,"En retard",IF(Q486-p_today&lt;=p_alert,"Échéance proche","Dans les délais")))))))</f>
        <v/>
      </c>
      <c r="AB486" s="58" t="str">
        <f>IF(AND(A486="",B486="",D486="",F486="",H486="",K486="",O486=""),"",IF(D486="","Mode de défaillance manquant",IF(AND(A486&lt;&gt;"",COUNTIF(am_num,A486)&gt;1),"N° en double",IF(F486="","Gravité G manquante",IF(NOT(IF(ISNUMBER(F486),AND(F486&gt;=1,F486&lt;=10,F486=INT(F486)),FALSE)),"G : entier de 1 à 10",IF(H486="","Occurrence O manquante",IF(NOT(IF(ISNUMBER(H486),AND(H486&gt;=1,H486&lt;=10,H486=INT(H486)),FALSE)),"O : entier de 1 à 10",IF(K486="","Détection D manquante",IF(NOT(IF(ISNUMBER(K486),AND(K486&gt;=1,K486&lt;=10,K486=INT(K486)),FALSE)),"D : entier de 1 à 10",IF(G486="","Cause manquante",IF(AND(O486&lt;&gt;"",P486=""),"Responsable manquant",IF(AND(R486&lt;&gt;"",O486=""),"Statut sans action",IF(AND(R486="Réalisée",N(S486)=0),"Date de réalisation manquante",IF(AND(T486&lt;&gt;"",IF(ISNUMBER(T486),T486&lt;0,TRUE)),"Coût invalide",IF(AND(COUNTBLANK(U486:W486)&gt;0,COUNTBLANK(U486:W486)&lt;3),"Cotation après action incomplète",IF(AND(COUNTBLANK(U486:W486)=0,X486=""),"G', O', D' : entiers de 1 à 10",IF(AND(X486&lt;&gt;"",X486&gt;L486),"IPR après action plus élevé","OK")))))))))))))))))</f>
        <v/>
      </c>
      <c r="AC486" s="59" t="str">
        <f>IF(OR(AA486="En retard",AA486="Échéance proche",AA486="Dans les délais",AA486="Échéance manquante",AA486="Action à définir",AA486="À réévaluer"),IF(OR(plan_who="",P486=plan_who),IF(N(Q486)&gt;0,Q486,99999)*1000+ROW(),""),"")</f>
        <v/>
      </c>
      <c r="AD486" s="59" t="str">
        <f>IF(L486="","",L486*1000+1000-ROW())</f>
        <v/>
      </c>
      <c r="AE486" s="59" t="str">
        <f>IF(IF(AA486="En retard",1,IF(AA486="Action à définir",2,IF(AA486="Échéance manquante",3,IF(AA486="Échéance proche",4,IF(AA486="À réévaluer",5,0)))))=0,"",IF(AA486="En retard",1,IF(AA486="Action à définir",2,IF(AA486="Échéance manquante",3,IF(AA486="Échéance proche",4,IF(AA486="À réévaluer",5,0)))))*100000000+IF(N(Q486)&gt;0,Q486,99999)*1000+ROW())</f>
        <v/>
      </c>
      <c r="AF486" s="59" t="str">
        <f>IF(X486&lt;&gt;"",X486,L486)</f>
        <v/>
      </c>
      <c r="AG486" s="59" t="str">
        <f>IF(X486&lt;&gt;"",Y486,IF(L486&lt;&gt;"",M486,""))</f>
        <v/>
      </c>
      <c r="AH486" s="59" t="str">
        <f>IF(L486="","",IF(X486&lt;&gt;"",U486,F486))</f>
        <v/>
      </c>
      <c r="AI486" s="59" t="str">
        <f>IF(L486="","",IF(X486&lt;&gt;"",V486,H486))</f>
        <v/>
      </c>
    </row>
    <row r="487" ht="30" customHeight="1">
      <c r="A487" s="50" t="n"/>
      <c r="B487" s="51" t="n"/>
      <c r="C487" s="51" t="n"/>
      <c r="D487" s="51" t="n"/>
      <c r="E487" s="51" t="n"/>
      <c r="F487" s="52" t="n"/>
      <c r="G487" s="51" t="n"/>
      <c r="H487" s="52" t="n"/>
      <c r="I487" s="51" t="n"/>
      <c r="J487" s="51" t="n"/>
      <c r="K487" s="52" t="n"/>
      <c r="L487" s="53" t="str">
        <f>IF(AND(IF(ISNUMBER(F487),AND(F487&gt;=1,F487&lt;=10,F487=INT(F487)),FALSE),IF(ISNUMBER(H487),AND(H487&gt;=1,H487&lt;=10,H487=INT(H487)),FALSE),IF(ISNUMBER(K487),AND(K487&gt;=1,K487&lt;=10,K487=INT(K487)),FALSE)),F487*H487*K487,"")</f>
        <v/>
      </c>
      <c r="M487" s="54" t="str">
        <f>IF(L487="",IF(D487="","","À coter"),IF(OR(F487&gt;=p_gmin,L487&gt;=p_ipr_crit),"Critique",IF(L487&gt;=p_ipr_act,"Élevée",IF(L487&gt;=p_ipr_watch,"Moyenne","Faible"))))</f>
        <v/>
      </c>
      <c r="N487" s="54" t="str">
        <f>IF(OR(M487="",M487="À coter"),"",IF(OR(M487="Critique",M487="Élevée"),"Oui","Non"))</f>
        <v/>
      </c>
      <c r="O487" s="51" t="n"/>
      <c r="P487" s="51" t="n"/>
      <c r="Q487" s="55" t="n"/>
      <c r="R487" s="50" t="n"/>
      <c r="S487" s="55" t="n"/>
      <c r="T487" s="56" t="n"/>
      <c r="U487" s="52" t="n"/>
      <c r="V487" s="52" t="n"/>
      <c r="W487" s="52" t="n"/>
      <c r="X487" s="53" t="str">
        <f>IF(AND(L487&lt;&gt;"",IF(ISNUMBER(U487),AND(U487&gt;=1,U487&lt;=10,U487=INT(U487)),FALSE),IF(ISNUMBER(V487),AND(V487&gt;=1,V487&lt;=10,V487=INT(V487)),FALSE),IF(ISNUMBER(W487),AND(W487&gt;=1,W487&lt;=10,W487=INT(W487)),FALSE)),U487*V487*W487,"")</f>
        <v/>
      </c>
      <c r="Y487" s="54" t="str">
        <f>IF(X487="","",IF(OR(U487&gt;=p_gmin,X487&gt;=p_ipr_crit),"Critique",IF(X487&gt;=p_ipr_act,"Élevée",IF(X487&gt;=p_ipr_watch,"Moyenne","Faible"))))</f>
        <v/>
      </c>
      <c r="Z487" s="57" t="str">
        <f>IF(X487="","",(L487-X487)/L487)</f>
        <v/>
      </c>
      <c r="AA487" s="54" t="str">
        <f>IF(AND(D487="",O487=""),"",IF(O487="",IF(N487="Oui","Action à définir",IF(N487="Non","Sans action","")),IF(R487="Annulée","Annulée",IF(R487="Réalisée",IF(X487="","À réévaluer","Réalisée"),IF(N(Q487)=0,"Échéance manquante",IF(Q487&lt;p_today,"En retard",IF(Q487-p_today&lt;=p_alert,"Échéance proche","Dans les délais")))))))</f>
        <v/>
      </c>
      <c r="AB487" s="58" t="str">
        <f>IF(AND(A487="",B487="",D487="",F487="",H487="",K487="",O487=""),"",IF(D487="","Mode de défaillance manquant",IF(AND(A487&lt;&gt;"",COUNTIF(am_num,A487)&gt;1),"N° en double",IF(F487="","Gravité G manquante",IF(NOT(IF(ISNUMBER(F487),AND(F487&gt;=1,F487&lt;=10,F487=INT(F487)),FALSE)),"G : entier de 1 à 10",IF(H487="","Occurrence O manquante",IF(NOT(IF(ISNUMBER(H487),AND(H487&gt;=1,H487&lt;=10,H487=INT(H487)),FALSE)),"O : entier de 1 à 10",IF(K487="","Détection D manquante",IF(NOT(IF(ISNUMBER(K487),AND(K487&gt;=1,K487&lt;=10,K487=INT(K487)),FALSE)),"D : entier de 1 à 10",IF(G487="","Cause manquante",IF(AND(O487&lt;&gt;"",P487=""),"Responsable manquant",IF(AND(R487&lt;&gt;"",O487=""),"Statut sans action",IF(AND(R487="Réalisée",N(S487)=0),"Date de réalisation manquante",IF(AND(T487&lt;&gt;"",IF(ISNUMBER(T487),T487&lt;0,TRUE)),"Coût invalide",IF(AND(COUNTBLANK(U487:W487)&gt;0,COUNTBLANK(U487:W487)&lt;3),"Cotation après action incomplète",IF(AND(COUNTBLANK(U487:W487)=0,X487=""),"G', O', D' : entiers de 1 à 10",IF(AND(X487&lt;&gt;"",X487&gt;L487),"IPR après action plus élevé","OK")))))))))))))))))</f>
        <v/>
      </c>
      <c r="AC487" s="59" t="str">
        <f>IF(OR(AA487="En retard",AA487="Échéance proche",AA487="Dans les délais",AA487="Échéance manquante",AA487="Action à définir",AA487="À réévaluer"),IF(OR(plan_who="",P487=plan_who),IF(N(Q487)&gt;0,Q487,99999)*1000+ROW(),""),"")</f>
        <v/>
      </c>
      <c r="AD487" s="59" t="str">
        <f>IF(L487="","",L487*1000+1000-ROW())</f>
        <v/>
      </c>
      <c r="AE487" s="59" t="str">
        <f>IF(IF(AA487="En retard",1,IF(AA487="Action à définir",2,IF(AA487="Échéance manquante",3,IF(AA487="Échéance proche",4,IF(AA487="À réévaluer",5,0)))))=0,"",IF(AA487="En retard",1,IF(AA487="Action à définir",2,IF(AA487="Échéance manquante",3,IF(AA487="Échéance proche",4,IF(AA487="À réévaluer",5,0)))))*100000000+IF(N(Q487)&gt;0,Q487,99999)*1000+ROW())</f>
        <v/>
      </c>
      <c r="AF487" s="59" t="str">
        <f>IF(X487&lt;&gt;"",X487,L487)</f>
        <v/>
      </c>
      <c r="AG487" s="59" t="str">
        <f>IF(X487&lt;&gt;"",Y487,IF(L487&lt;&gt;"",M487,""))</f>
        <v/>
      </c>
      <c r="AH487" s="59" t="str">
        <f>IF(L487="","",IF(X487&lt;&gt;"",U487,F487))</f>
        <v/>
      </c>
      <c r="AI487" s="59" t="str">
        <f>IF(L487="","",IF(X487&lt;&gt;"",V487,H487))</f>
        <v/>
      </c>
    </row>
    <row r="488" ht="30" customHeight="1">
      <c r="A488" s="50" t="n"/>
      <c r="B488" s="51" t="n"/>
      <c r="C488" s="51" t="n"/>
      <c r="D488" s="51" t="n"/>
      <c r="E488" s="51" t="n"/>
      <c r="F488" s="52" t="n"/>
      <c r="G488" s="51" t="n"/>
      <c r="H488" s="52" t="n"/>
      <c r="I488" s="51" t="n"/>
      <c r="J488" s="51" t="n"/>
      <c r="K488" s="52" t="n"/>
      <c r="L488" s="53" t="str">
        <f>IF(AND(IF(ISNUMBER(F488),AND(F488&gt;=1,F488&lt;=10,F488=INT(F488)),FALSE),IF(ISNUMBER(H488),AND(H488&gt;=1,H488&lt;=10,H488=INT(H488)),FALSE),IF(ISNUMBER(K488),AND(K488&gt;=1,K488&lt;=10,K488=INT(K488)),FALSE)),F488*H488*K488,"")</f>
        <v/>
      </c>
      <c r="M488" s="54" t="str">
        <f>IF(L488="",IF(D488="","","À coter"),IF(OR(F488&gt;=p_gmin,L488&gt;=p_ipr_crit),"Critique",IF(L488&gt;=p_ipr_act,"Élevée",IF(L488&gt;=p_ipr_watch,"Moyenne","Faible"))))</f>
        <v/>
      </c>
      <c r="N488" s="54" t="str">
        <f>IF(OR(M488="",M488="À coter"),"",IF(OR(M488="Critique",M488="Élevée"),"Oui","Non"))</f>
        <v/>
      </c>
      <c r="O488" s="51" t="n"/>
      <c r="P488" s="51" t="n"/>
      <c r="Q488" s="55" t="n"/>
      <c r="R488" s="50" t="n"/>
      <c r="S488" s="55" t="n"/>
      <c r="T488" s="56" t="n"/>
      <c r="U488" s="52" t="n"/>
      <c r="V488" s="52" t="n"/>
      <c r="W488" s="52" t="n"/>
      <c r="X488" s="53" t="str">
        <f>IF(AND(L488&lt;&gt;"",IF(ISNUMBER(U488),AND(U488&gt;=1,U488&lt;=10,U488=INT(U488)),FALSE),IF(ISNUMBER(V488),AND(V488&gt;=1,V488&lt;=10,V488=INT(V488)),FALSE),IF(ISNUMBER(W488),AND(W488&gt;=1,W488&lt;=10,W488=INT(W488)),FALSE)),U488*V488*W488,"")</f>
        <v/>
      </c>
      <c r="Y488" s="54" t="str">
        <f>IF(X488="","",IF(OR(U488&gt;=p_gmin,X488&gt;=p_ipr_crit),"Critique",IF(X488&gt;=p_ipr_act,"Élevée",IF(X488&gt;=p_ipr_watch,"Moyenne","Faible"))))</f>
        <v/>
      </c>
      <c r="Z488" s="57" t="str">
        <f>IF(X488="","",(L488-X488)/L488)</f>
        <v/>
      </c>
      <c r="AA488" s="54" t="str">
        <f>IF(AND(D488="",O488=""),"",IF(O488="",IF(N488="Oui","Action à définir",IF(N488="Non","Sans action","")),IF(R488="Annulée","Annulée",IF(R488="Réalisée",IF(X488="","À réévaluer","Réalisée"),IF(N(Q488)=0,"Échéance manquante",IF(Q488&lt;p_today,"En retard",IF(Q488-p_today&lt;=p_alert,"Échéance proche","Dans les délais")))))))</f>
        <v/>
      </c>
      <c r="AB488" s="58" t="str">
        <f>IF(AND(A488="",B488="",D488="",F488="",H488="",K488="",O488=""),"",IF(D488="","Mode de défaillance manquant",IF(AND(A488&lt;&gt;"",COUNTIF(am_num,A488)&gt;1),"N° en double",IF(F488="","Gravité G manquante",IF(NOT(IF(ISNUMBER(F488),AND(F488&gt;=1,F488&lt;=10,F488=INT(F488)),FALSE)),"G : entier de 1 à 10",IF(H488="","Occurrence O manquante",IF(NOT(IF(ISNUMBER(H488),AND(H488&gt;=1,H488&lt;=10,H488=INT(H488)),FALSE)),"O : entier de 1 à 10",IF(K488="","Détection D manquante",IF(NOT(IF(ISNUMBER(K488),AND(K488&gt;=1,K488&lt;=10,K488=INT(K488)),FALSE)),"D : entier de 1 à 10",IF(G488="","Cause manquante",IF(AND(O488&lt;&gt;"",P488=""),"Responsable manquant",IF(AND(R488&lt;&gt;"",O488=""),"Statut sans action",IF(AND(R488="Réalisée",N(S488)=0),"Date de réalisation manquante",IF(AND(T488&lt;&gt;"",IF(ISNUMBER(T488),T488&lt;0,TRUE)),"Coût invalide",IF(AND(COUNTBLANK(U488:W488)&gt;0,COUNTBLANK(U488:W488)&lt;3),"Cotation après action incomplète",IF(AND(COUNTBLANK(U488:W488)=0,X488=""),"G', O', D' : entiers de 1 à 10",IF(AND(X488&lt;&gt;"",X488&gt;L488),"IPR après action plus élevé","OK")))))))))))))))))</f>
        <v/>
      </c>
      <c r="AC488" s="59" t="str">
        <f>IF(OR(AA488="En retard",AA488="Échéance proche",AA488="Dans les délais",AA488="Échéance manquante",AA488="Action à définir",AA488="À réévaluer"),IF(OR(plan_who="",P488=plan_who),IF(N(Q488)&gt;0,Q488,99999)*1000+ROW(),""),"")</f>
        <v/>
      </c>
      <c r="AD488" s="59" t="str">
        <f>IF(L488="","",L488*1000+1000-ROW())</f>
        <v/>
      </c>
      <c r="AE488" s="59" t="str">
        <f>IF(IF(AA488="En retard",1,IF(AA488="Action à définir",2,IF(AA488="Échéance manquante",3,IF(AA488="Échéance proche",4,IF(AA488="À réévaluer",5,0)))))=0,"",IF(AA488="En retard",1,IF(AA488="Action à définir",2,IF(AA488="Échéance manquante",3,IF(AA488="Échéance proche",4,IF(AA488="À réévaluer",5,0)))))*100000000+IF(N(Q488)&gt;0,Q488,99999)*1000+ROW())</f>
        <v/>
      </c>
      <c r="AF488" s="59" t="str">
        <f>IF(X488&lt;&gt;"",X488,L488)</f>
        <v/>
      </c>
      <c r="AG488" s="59" t="str">
        <f>IF(X488&lt;&gt;"",Y488,IF(L488&lt;&gt;"",M488,""))</f>
        <v/>
      </c>
      <c r="AH488" s="59" t="str">
        <f>IF(L488="","",IF(X488&lt;&gt;"",U488,F488))</f>
        <v/>
      </c>
      <c r="AI488" s="59" t="str">
        <f>IF(L488="","",IF(X488&lt;&gt;"",V488,H488))</f>
        <v/>
      </c>
    </row>
    <row r="489" ht="30" customHeight="1">
      <c r="A489" s="50" t="n"/>
      <c r="B489" s="51" t="n"/>
      <c r="C489" s="51" t="n"/>
      <c r="D489" s="51" t="n"/>
      <c r="E489" s="51" t="n"/>
      <c r="F489" s="52" t="n"/>
      <c r="G489" s="51" t="n"/>
      <c r="H489" s="52" t="n"/>
      <c r="I489" s="51" t="n"/>
      <c r="J489" s="51" t="n"/>
      <c r="K489" s="52" t="n"/>
      <c r="L489" s="53" t="str">
        <f>IF(AND(IF(ISNUMBER(F489),AND(F489&gt;=1,F489&lt;=10,F489=INT(F489)),FALSE),IF(ISNUMBER(H489),AND(H489&gt;=1,H489&lt;=10,H489=INT(H489)),FALSE),IF(ISNUMBER(K489),AND(K489&gt;=1,K489&lt;=10,K489=INT(K489)),FALSE)),F489*H489*K489,"")</f>
        <v/>
      </c>
      <c r="M489" s="54" t="str">
        <f>IF(L489="",IF(D489="","","À coter"),IF(OR(F489&gt;=p_gmin,L489&gt;=p_ipr_crit),"Critique",IF(L489&gt;=p_ipr_act,"Élevée",IF(L489&gt;=p_ipr_watch,"Moyenne","Faible"))))</f>
        <v/>
      </c>
      <c r="N489" s="54" t="str">
        <f>IF(OR(M489="",M489="À coter"),"",IF(OR(M489="Critique",M489="Élevée"),"Oui","Non"))</f>
        <v/>
      </c>
      <c r="O489" s="51" t="n"/>
      <c r="P489" s="51" t="n"/>
      <c r="Q489" s="55" t="n"/>
      <c r="R489" s="50" t="n"/>
      <c r="S489" s="55" t="n"/>
      <c r="T489" s="56" t="n"/>
      <c r="U489" s="52" t="n"/>
      <c r="V489" s="52" t="n"/>
      <c r="W489" s="52" t="n"/>
      <c r="X489" s="53" t="str">
        <f>IF(AND(L489&lt;&gt;"",IF(ISNUMBER(U489),AND(U489&gt;=1,U489&lt;=10,U489=INT(U489)),FALSE),IF(ISNUMBER(V489),AND(V489&gt;=1,V489&lt;=10,V489=INT(V489)),FALSE),IF(ISNUMBER(W489),AND(W489&gt;=1,W489&lt;=10,W489=INT(W489)),FALSE)),U489*V489*W489,"")</f>
        <v/>
      </c>
      <c r="Y489" s="54" t="str">
        <f>IF(X489="","",IF(OR(U489&gt;=p_gmin,X489&gt;=p_ipr_crit),"Critique",IF(X489&gt;=p_ipr_act,"Élevée",IF(X489&gt;=p_ipr_watch,"Moyenne","Faible"))))</f>
        <v/>
      </c>
      <c r="Z489" s="57" t="str">
        <f>IF(X489="","",(L489-X489)/L489)</f>
        <v/>
      </c>
      <c r="AA489" s="54" t="str">
        <f>IF(AND(D489="",O489=""),"",IF(O489="",IF(N489="Oui","Action à définir",IF(N489="Non","Sans action","")),IF(R489="Annulée","Annulée",IF(R489="Réalisée",IF(X489="","À réévaluer","Réalisée"),IF(N(Q489)=0,"Échéance manquante",IF(Q489&lt;p_today,"En retard",IF(Q489-p_today&lt;=p_alert,"Échéance proche","Dans les délais")))))))</f>
        <v/>
      </c>
      <c r="AB489" s="58" t="str">
        <f>IF(AND(A489="",B489="",D489="",F489="",H489="",K489="",O489=""),"",IF(D489="","Mode de défaillance manquant",IF(AND(A489&lt;&gt;"",COUNTIF(am_num,A489)&gt;1),"N° en double",IF(F489="","Gravité G manquante",IF(NOT(IF(ISNUMBER(F489),AND(F489&gt;=1,F489&lt;=10,F489=INT(F489)),FALSE)),"G : entier de 1 à 10",IF(H489="","Occurrence O manquante",IF(NOT(IF(ISNUMBER(H489),AND(H489&gt;=1,H489&lt;=10,H489=INT(H489)),FALSE)),"O : entier de 1 à 10",IF(K489="","Détection D manquante",IF(NOT(IF(ISNUMBER(K489),AND(K489&gt;=1,K489&lt;=10,K489=INT(K489)),FALSE)),"D : entier de 1 à 10",IF(G489="","Cause manquante",IF(AND(O489&lt;&gt;"",P489=""),"Responsable manquant",IF(AND(R489&lt;&gt;"",O489=""),"Statut sans action",IF(AND(R489="Réalisée",N(S489)=0),"Date de réalisation manquante",IF(AND(T489&lt;&gt;"",IF(ISNUMBER(T489),T489&lt;0,TRUE)),"Coût invalide",IF(AND(COUNTBLANK(U489:W489)&gt;0,COUNTBLANK(U489:W489)&lt;3),"Cotation après action incomplète",IF(AND(COUNTBLANK(U489:W489)=0,X489=""),"G', O', D' : entiers de 1 à 10",IF(AND(X489&lt;&gt;"",X489&gt;L489),"IPR après action plus élevé","OK")))))))))))))))))</f>
        <v/>
      </c>
      <c r="AC489" s="59" t="str">
        <f>IF(OR(AA489="En retard",AA489="Échéance proche",AA489="Dans les délais",AA489="Échéance manquante",AA489="Action à définir",AA489="À réévaluer"),IF(OR(plan_who="",P489=plan_who),IF(N(Q489)&gt;0,Q489,99999)*1000+ROW(),""),"")</f>
        <v/>
      </c>
      <c r="AD489" s="59" t="str">
        <f>IF(L489="","",L489*1000+1000-ROW())</f>
        <v/>
      </c>
      <c r="AE489" s="59" t="str">
        <f>IF(IF(AA489="En retard",1,IF(AA489="Action à définir",2,IF(AA489="Échéance manquante",3,IF(AA489="Échéance proche",4,IF(AA489="À réévaluer",5,0)))))=0,"",IF(AA489="En retard",1,IF(AA489="Action à définir",2,IF(AA489="Échéance manquante",3,IF(AA489="Échéance proche",4,IF(AA489="À réévaluer",5,0)))))*100000000+IF(N(Q489)&gt;0,Q489,99999)*1000+ROW())</f>
        <v/>
      </c>
      <c r="AF489" s="59" t="str">
        <f>IF(X489&lt;&gt;"",X489,L489)</f>
        <v/>
      </c>
      <c r="AG489" s="59" t="str">
        <f>IF(X489&lt;&gt;"",Y489,IF(L489&lt;&gt;"",M489,""))</f>
        <v/>
      </c>
      <c r="AH489" s="59" t="str">
        <f>IF(L489="","",IF(X489&lt;&gt;"",U489,F489))</f>
        <v/>
      </c>
      <c r="AI489" s="59" t="str">
        <f>IF(L489="","",IF(X489&lt;&gt;"",V489,H489))</f>
        <v/>
      </c>
    </row>
    <row r="490" ht="30" customHeight="1">
      <c r="A490" s="50" t="n"/>
      <c r="B490" s="51" t="n"/>
      <c r="C490" s="51" t="n"/>
      <c r="D490" s="51" t="n"/>
      <c r="E490" s="51" t="n"/>
      <c r="F490" s="52" t="n"/>
      <c r="G490" s="51" t="n"/>
      <c r="H490" s="52" t="n"/>
      <c r="I490" s="51" t="n"/>
      <c r="J490" s="51" t="n"/>
      <c r="K490" s="52" t="n"/>
      <c r="L490" s="53" t="str">
        <f>IF(AND(IF(ISNUMBER(F490),AND(F490&gt;=1,F490&lt;=10,F490=INT(F490)),FALSE),IF(ISNUMBER(H490),AND(H490&gt;=1,H490&lt;=10,H490=INT(H490)),FALSE),IF(ISNUMBER(K490),AND(K490&gt;=1,K490&lt;=10,K490=INT(K490)),FALSE)),F490*H490*K490,"")</f>
        <v/>
      </c>
      <c r="M490" s="54" t="str">
        <f>IF(L490="",IF(D490="","","À coter"),IF(OR(F490&gt;=p_gmin,L490&gt;=p_ipr_crit),"Critique",IF(L490&gt;=p_ipr_act,"Élevée",IF(L490&gt;=p_ipr_watch,"Moyenne","Faible"))))</f>
        <v/>
      </c>
      <c r="N490" s="54" t="str">
        <f>IF(OR(M490="",M490="À coter"),"",IF(OR(M490="Critique",M490="Élevée"),"Oui","Non"))</f>
        <v/>
      </c>
      <c r="O490" s="51" t="n"/>
      <c r="P490" s="51" t="n"/>
      <c r="Q490" s="55" t="n"/>
      <c r="R490" s="50" t="n"/>
      <c r="S490" s="55" t="n"/>
      <c r="T490" s="56" t="n"/>
      <c r="U490" s="52" t="n"/>
      <c r="V490" s="52" t="n"/>
      <c r="W490" s="52" t="n"/>
      <c r="X490" s="53" t="str">
        <f>IF(AND(L490&lt;&gt;"",IF(ISNUMBER(U490),AND(U490&gt;=1,U490&lt;=10,U490=INT(U490)),FALSE),IF(ISNUMBER(V490),AND(V490&gt;=1,V490&lt;=10,V490=INT(V490)),FALSE),IF(ISNUMBER(W490),AND(W490&gt;=1,W490&lt;=10,W490=INT(W490)),FALSE)),U490*V490*W490,"")</f>
        <v/>
      </c>
      <c r="Y490" s="54" t="str">
        <f>IF(X490="","",IF(OR(U490&gt;=p_gmin,X490&gt;=p_ipr_crit),"Critique",IF(X490&gt;=p_ipr_act,"Élevée",IF(X490&gt;=p_ipr_watch,"Moyenne","Faible"))))</f>
        <v/>
      </c>
      <c r="Z490" s="57" t="str">
        <f>IF(X490="","",(L490-X490)/L490)</f>
        <v/>
      </c>
      <c r="AA490" s="54" t="str">
        <f>IF(AND(D490="",O490=""),"",IF(O490="",IF(N490="Oui","Action à définir",IF(N490="Non","Sans action","")),IF(R490="Annulée","Annulée",IF(R490="Réalisée",IF(X490="","À réévaluer","Réalisée"),IF(N(Q490)=0,"Échéance manquante",IF(Q490&lt;p_today,"En retard",IF(Q490-p_today&lt;=p_alert,"Échéance proche","Dans les délais")))))))</f>
        <v/>
      </c>
      <c r="AB490" s="58" t="str">
        <f>IF(AND(A490="",B490="",D490="",F490="",H490="",K490="",O490=""),"",IF(D490="","Mode de défaillance manquant",IF(AND(A490&lt;&gt;"",COUNTIF(am_num,A490)&gt;1),"N° en double",IF(F490="","Gravité G manquante",IF(NOT(IF(ISNUMBER(F490),AND(F490&gt;=1,F490&lt;=10,F490=INT(F490)),FALSE)),"G : entier de 1 à 10",IF(H490="","Occurrence O manquante",IF(NOT(IF(ISNUMBER(H490),AND(H490&gt;=1,H490&lt;=10,H490=INT(H490)),FALSE)),"O : entier de 1 à 10",IF(K490="","Détection D manquante",IF(NOT(IF(ISNUMBER(K490),AND(K490&gt;=1,K490&lt;=10,K490=INT(K490)),FALSE)),"D : entier de 1 à 10",IF(G490="","Cause manquante",IF(AND(O490&lt;&gt;"",P490=""),"Responsable manquant",IF(AND(R490&lt;&gt;"",O490=""),"Statut sans action",IF(AND(R490="Réalisée",N(S490)=0),"Date de réalisation manquante",IF(AND(T490&lt;&gt;"",IF(ISNUMBER(T490),T490&lt;0,TRUE)),"Coût invalide",IF(AND(COUNTBLANK(U490:W490)&gt;0,COUNTBLANK(U490:W490)&lt;3),"Cotation après action incomplète",IF(AND(COUNTBLANK(U490:W490)=0,X490=""),"G', O', D' : entiers de 1 à 10",IF(AND(X490&lt;&gt;"",X490&gt;L490),"IPR après action plus élevé","OK")))))))))))))))))</f>
        <v/>
      </c>
      <c r="AC490" s="59" t="str">
        <f>IF(OR(AA490="En retard",AA490="Échéance proche",AA490="Dans les délais",AA490="Échéance manquante",AA490="Action à définir",AA490="À réévaluer"),IF(OR(plan_who="",P490=plan_who),IF(N(Q490)&gt;0,Q490,99999)*1000+ROW(),""),"")</f>
        <v/>
      </c>
      <c r="AD490" s="59" t="str">
        <f>IF(L490="","",L490*1000+1000-ROW())</f>
        <v/>
      </c>
      <c r="AE490" s="59" t="str">
        <f>IF(IF(AA490="En retard",1,IF(AA490="Action à définir",2,IF(AA490="Échéance manquante",3,IF(AA490="Échéance proche",4,IF(AA490="À réévaluer",5,0)))))=0,"",IF(AA490="En retard",1,IF(AA490="Action à définir",2,IF(AA490="Échéance manquante",3,IF(AA490="Échéance proche",4,IF(AA490="À réévaluer",5,0)))))*100000000+IF(N(Q490)&gt;0,Q490,99999)*1000+ROW())</f>
        <v/>
      </c>
      <c r="AF490" s="59" t="str">
        <f>IF(X490&lt;&gt;"",X490,L490)</f>
        <v/>
      </c>
      <c r="AG490" s="59" t="str">
        <f>IF(X490&lt;&gt;"",Y490,IF(L490&lt;&gt;"",M490,""))</f>
        <v/>
      </c>
      <c r="AH490" s="59" t="str">
        <f>IF(L490="","",IF(X490&lt;&gt;"",U490,F490))</f>
        <v/>
      </c>
      <c r="AI490" s="59" t="str">
        <f>IF(L490="","",IF(X490&lt;&gt;"",V490,H490))</f>
        <v/>
      </c>
    </row>
    <row r="491" ht="30" customHeight="1">
      <c r="A491" s="50" t="n"/>
      <c r="B491" s="51" t="n"/>
      <c r="C491" s="51" t="n"/>
      <c r="D491" s="51" t="n"/>
      <c r="E491" s="51" t="n"/>
      <c r="F491" s="52" t="n"/>
      <c r="G491" s="51" t="n"/>
      <c r="H491" s="52" t="n"/>
      <c r="I491" s="51" t="n"/>
      <c r="J491" s="51" t="n"/>
      <c r="K491" s="52" t="n"/>
      <c r="L491" s="53" t="str">
        <f>IF(AND(IF(ISNUMBER(F491),AND(F491&gt;=1,F491&lt;=10,F491=INT(F491)),FALSE),IF(ISNUMBER(H491),AND(H491&gt;=1,H491&lt;=10,H491=INT(H491)),FALSE),IF(ISNUMBER(K491),AND(K491&gt;=1,K491&lt;=10,K491=INT(K491)),FALSE)),F491*H491*K491,"")</f>
        <v/>
      </c>
      <c r="M491" s="54" t="str">
        <f>IF(L491="",IF(D491="","","À coter"),IF(OR(F491&gt;=p_gmin,L491&gt;=p_ipr_crit),"Critique",IF(L491&gt;=p_ipr_act,"Élevée",IF(L491&gt;=p_ipr_watch,"Moyenne","Faible"))))</f>
        <v/>
      </c>
      <c r="N491" s="54" t="str">
        <f>IF(OR(M491="",M491="À coter"),"",IF(OR(M491="Critique",M491="Élevée"),"Oui","Non"))</f>
        <v/>
      </c>
      <c r="O491" s="51" t="n"/>
      <c r="P491" s="51" t="n"/>
      <c r="Q491" s="55" t="n"/>
      <c r="R491" s="50" t="n"/>
      <c r="S491" s="55" t="n"/>
      <c r="T491" s="56" t="n"/>
      <c r="U491" s="52" t="n"/>
      <c r="V491" s="52" t="n"/>
      <c r="W491" s="52" t="n"/>
      <c r="X491" s="53" t="str">
        <f>IF(AND(L491&lt;&gt;"",IF(ISNUMBER(U491),AND(U491&gt;=1,U491&lt;=10,U491=INT(U491)),FALSE),IF(ISNUMBER(V491),AND(V491&gt;=1,V491&lt;=10,V491=INT(V491)),FALSE),IF(ISNUMBER(W491),AND(W491&gt;=1,W491&lt;=10,W491=INT(W491)),FALSE)),U491*V491*W491,"")</f>
        <v/>
      </c>
      <c r="Y491" s="54" t="str">
        <f>IF(X491="","",IF(OR(U491&gt;=p_gmin,X491&gt;=p_ipr_crit),"Critique",IF(X491&gt;=p_ipr_act,"Élevée",IF(X491&gt;=p_ipr_watch,"Moyenne","Faible"))))</f>
        <v/>
      </c>
      <c r="Z491" s="57" t="str">
        <f>IF(X491="","",(L491-X491)/L491)</f>
        <v/>
      </c>
      <c r="AA491" s="54" t="str">
        <f>IF(AND(D491="",O491=""),"",IF(O491="",IF(N491="Oui","Action à définir",IF(N491="Non","Sans action","")),IF(R491="Annulée","Annulée",IF(R491="Réalisée",IF(X491="","À réévaluer","Réalisée"),IF(N(Q491)=0,"Échéance manquante",IF(Q491&lt;p_today,"En retard",IF(Q491-p_today&lt;=p_alert,"Échéance proche","Dans les délais")))))))</f>
        <v/>
      </c>
      <c r="AB491" s="58" t="str">
        <f>IF(AND(A491="",B491="",D491="",F491="",H491="",K491="",O491=""),"",IF(D491="","Mode de défaillance manquant",IF(AND(A491&lt;&gt;"",COUNTIF(am_num,A491)&gt;1),"N° en double",IF(F491="","Gravité G manquante",IF(NOT(IF(ISNUMBER(F491),AND(F491&gt;=1,F491&lt;=10,F491=INT(F491)),FALSE)),"G : entier de 1 à 10",IF(H491="","Occurrence O manquante",IF(NOT(IF(ISNUMBER(H491),AND(H491&gt;=1,H491&lt;=10,H491=INT(H491)),FALSE)),"O : entier de 1 à 10",IF(K491="","Détection D manquante",IF(NOT(IF(ISNUMBER(K491),AND(K491&gt;=1,K491&lt;=10,K491=INT(K491)),FALSE)),"D : entier de 1 à 10",IF(G491="","Cause manquante",IF(AND(O491&lt;&gt;"",P491=""),"Responsable manquant",IF(AND(R491&lt;&gt;"",O491=""),"Statut sans action",IF(AND(R491="Réalisée",N(S491)=0),"Date de réalisation manquante",IF(AND(T491&lt;&gt;"",IF(ISNUMBER(T491),T491&lt;0,TRUE)),"Coût invalide",IF(AND(COUNTBLANK(U491:W491)&gt;0,COUNTBLANK(U491:W491)&lt;3),"Cotation après action incomplète",IF(AND(COUNTBLANK(U491:W491)=0,X491=""),"G', O', D' : entiers de 1 à 10",IF(AND(X491&lt;&gt;"",X491&gt;L491),"IPR après action plus élevé","OK")))))))))))))))))</f>
        <v/>
      </c>
      <c r="AC491" s="59" t="str">
        <f>IF(OR(AA491="En retard",AA491="Échéance proche",AA491="Dans les délais",AA491="Échéance manquante",AA491="Action à définir",AA491="À réévaluer"),IF(OR(plan_who="",P491=plan_who),IF(N(Q491)&gt;0,Q491,99999)*1000+ROW(),""),"")</f>
        <v/>
      </c>
      <c r="AD491" s="59" t="str">
        <f>IF(L491="","",L491*1000+1000-ROW())</f>
        <v/>
      </c>
      <c r="AE491" s="59" t="str">
        <f>IF(IF(AA491="En retard",1,IF(AA491="Action à définir",2,IF(AA491="Échéance manquante",3,IF(AA491="Échéance proche",4,IF(AA491="À réévaluer",5,0)))))=0,"",IF(AA491="En retard",1,IF(AA491="Action à définir",2,IF(AA491="Échéance manquante",3,IF(AA491="Échéance proche",4,IF(AA491="À réévaluer",5,0)))))*100000000+IF(N(Q491)&gt;0,Q491,99999)*1000+ROW())</f>
        <v/>
      </c>
      <c r="AF491" s="59" t="str">
        <f>IF(X491&lt;&gt;"",X491,L491)</f>
        <v/>
      </c>
      <c r="AG491" s="59" t="str">
        <f>IF(X491&lt;&gt;"",Y491,IF(L491&lt;&gt;"",M491,""))</f>
        <v/>
      </c>
      <c r="AH491" s="59" t="str">
        <f>IF(L491="","",IF(X491&lt;&gt;"",U491,F491))</f>
        <v/>
      </c>
      <c r="AI491" s="59" t="str">
        <f>IF(L491="","",IF(X491&lt;&gt;"",V491,H491))</f>
        <v/>
      </c>
    </row>
    <row r="492" ht="30" customHeight="1">
      <c r="A492" s="50" t="n"/>
      <c r="B492" s="51" t="n"/>
      <c r="C492" s="51" t="n"/>
      <c r="D492" s="51" t="n"/>
      <c r="E492" s="51" t="n"/>
      <c r="F492" s="52" t="n"/>
      <c r="G492" s="51" t="n"/>
      <c r="H492" s="52" t="n"/>
      <c r="I492" s="51" t="n"/>
      <c r="J492" s="51" t="n"/>
      <c r="K492" s="52" t="n"/>
      <c r="L492" s="53" t="str">
        <f>IF(AND(IF(ISNUMBER(F492),AND(F492&gt;=1,F492&lt;=10,F492=INT(F492)),FALSE),IF(ISNUMBER(H492),AND(H492&gt;=1,H492&lt;=10,H492=INT(H492)),FALSE),IF(ISNUMBER(K492),AND(K492&gt;=1,K492&lt;=10,K492=INT(K492)),FALSE)),F492*H492*K492,"")</f>
        <v/>
      </c>
      <c r="M492" s="54" t="str">
        <f>IF(L492="",IF(D492="","","À coter"),IF(OR(F492&gt;=p_gmin,L492&gt;=p_ipr_crit),"Critique",IF(L492&gt;=p_ipr_act,"Élevée",IF(L492&gt;=p_ipr_watch,"Moyenne","Faible"))))</f>
        <v/>
      </c>
      <c r="N492" s="54" t="str">
        <f>IF(OR(M492="",M492="À coter"),"",IF(OR(M492="Critique",M492="Élevée"),"Oui","Non"))</f>
        <v/>
      </c>
      <c r="O492" s="51" t="n"/>
      <c r="P492" s="51" t="n"/>
      <c r="Q492" s="55" t="n"/>
      <c r="R492" s="50" t="n"/>
      <c r="S492" s="55" t="n"/>
      <c r="T492" s="56" t="n"/>
      <c r="U492" s="52" t="n"/>
      <c r="V492" s="52" t="n"/>
      <c r="W492" s="52" t="n"/>
      <c r="X492" s="53" t="str">
        <f>IF(AND(L492&lt;&gt;"",IF(ISNUMBER(U492),AND(U492&gt;=1,U492&lt;=10,U492=INT(U492)),FALSE),IF(ISNUMBER(V492),AND(V492&gt;=1,V492&lt;=10,V492=INT(V492)),FALSE),IF(ISNUMBER(W492),AND(W492&gt;=1,W492&lt;=10,W492=INT(W492)),FALSE)),U492*V492*W492,"")</f>
        <v/>
      </c>
      <c r="Y492" s="54" t="str">
        <f>IF(X492="","",IF(OR(U492&gt;=p_gmin,X492&gt;=p_ipr_crit),"Critique",IF(X492&gt;=p_ipr_act,"Élevée",IF(X492&gt;=p_ipr_watch,"Moyenne","Faible"))))</f>
        <v/>
      </c>
      <c r="Z492" s="57" t="str">
        <f>IF(X492="","",(L492-X492)/L492)</f>
        <v/>
      </c>
      <c r="AA492" s="54" t="str">
        <f>IF(AND(D492="",O492=""),"",IF(O492="",IF(N492="Oui","Action à définir",IF(N492="Non","Sans action","")),IF(R492="Annulée","Annulée",IF(R492="Réalisée",IF(X492="","À réévaluer","Réalisée"),IF(N(Q492)=0,"Échéance manquante",IF(Q492&lt;p_today,"En retard",IF(Q492-p_today&lt;=p_alert,"Échéance proche","Dans les délais")))))))</f>
        <v/>
      </c>
      <c r="AB492" s="58" t="str">
        <f>IF(AND(A492="",B492="",D492="",F492="",H492="",K492="",O492=""),"",IF(D492="","Mode de défaillance manquant",IF(AND(A492&lt;&gt;"",COUNTIF(am_num,A492)&gt;1),"N° en double",IF(F492="","Gravité G manquante",IF(NOT(IF(ISNUMBER(F492),AND(F492&gt;=1,F492&lt;=10,F492=INT(F492)),FALSE)),"G : entier de 1 à 10",IF(H492="","Occurrence O manquante",IF(NOT(IF(ISNUMBER(H492),AND(H492&gt;=1,H492&lt;=10,H492=INT(H492)),FALSE)),"O : entier de 1 à 10",IF(K492="","Détection D manquante",IF(NOT(IF(ISNUMBER(K492),AND(K492&gt;=1,K492&lt;=10,K492=INT(K492)),FALSE)),"D : entier de 1 à 10",IF(G492="","Cause manquante",IF(AND(O492&lt;&gt;"",P492=""),"Responsable manquant",IF(AND(R492&lt;&gt;"",O492=""),"Statut sans action",IF(AND(R492="Réalisée",N(S492)=0),"Date de réalisation manquante",IF(AND(T492&lt;&gt;"",IF(ISNUMBER(T492),T492&lt;0,TRUE)),"Coût invalide",IF(AND(COUNTBLANK(U492:W492)&gt;0,COUNTBLANK(U492:W492)&lt;3),"Cotation après action incomplète",IF(AND(COUNTBLANK(U492:W492)=0,X492=""),"G', O', D' : entiers de 1 à 10",IF(AND(X492&lt;&gt;"",X492&gt;L492),"IPR après action plus élevé","OK")))))))))))))))))</f>
        <v/>
      </c>
      <c r="AC492" s="59" t="str">
        <f>IF(OR(AA492="En retard",AA492="Échéance proche",AA492="Dans les délais",AA492="Échéance manquante",AA492="Action à définir",AA492="À réévaluer"),IF(OR(plan_who="",P492=plan_who),IF(N(Q492)&gt;0,Q492,99999)*1000+ROW(),""),"")</f>
        <v/>
      </c>
      <c r="AD492" s="59" t="str">
        <f>IF(L492="","",L492*1000+1000-ROW())</f>
        <v/>
      </c>
      <c r="AE492" s="59" t="str">
        <f>IF(IF(AA492="En retard",1,IF(AA492="Action à définir",2,IF(AA492="Échéance manquante",3,IF(AA492="Échéance proche",4,IF(AA492="À réévaluer",5,0)))))=0,"",IF(AA492="En retard",1,IF(AA492="Action à définir",2,IF(AA492="Échéance manquante",3,IF(AA492="Échéance proche",4,IF(AA492="À réévaluer",5,0)))))*100000000+IF(N(Q492)&gt;0,Q492,99999)*1000+ROW())</f>
        <v/>
      </c>
      <c r="AF492" s="59" t="str">
        <f>IF(X492&lt;&gt;"",X492,L492)</f>
        <v/>
      </c>
      <c r="AG492" s="59" t="str">
        <f>IF(X492&lt;&gt;"",Y492,IF(L492&lt;&gt;"",M492,""))</f>
        <v/>
      </c>
      <c r="AH492" s="59" t="str">
        <f>IF(L492="","",IF(X492&lt;&gt;"",U492,F492))</f>
        <v/>
      </c>
      <c r="AI492" s="59" t="str">
        <f>IF(L492="","",IF(X492&lt;&gt;"",V492,H492))</f>
        <v/>
      </c>
    </row>
    <row r="493" ht="30" customHeight="1">
      <c r="A493" s="50" t="n"/>
      <c r="B493" s="51" t="n"/>
      <c r="C493" s="51" t="n"/>
      <c r="D493" s="51" t="n"/>
      <c r="E493" s="51" t="n"/>
      <c r="F493" s="52" t="n"/>
      <c r="G493" s="51" t="n"/>
      <c r="H493" s="52" t="n"/>
      <c r="I493" s="51" t="n"/>
      <c r="J493" s="51" t="n"/>
      <c r="K493" s="52" t="n"/>
      <c r="L493" s="53" t="str">
        <f>IF(AND(IF(ISNUMBER(F493),AND(F493&gt;=1,F493&lt;=10,F493=INT(F493)),FALSE),IF(ISNUMBER(H493),AND(H493&gt;=1,H493&lt;=10,H493=INT(H493)),FALSE),IF(ISNUMBER(K493),AND(K493&gt;=1,K493&lt;=10,K493=INT(K493)),FALSE)),F493*H493*K493,"")</f>
        <v/>
      </c>
      <c r="M493" s="54" t="str">
        <f>IF(L493="",IF(D493="","","À coter"),IF(OR(F493&gt;=p_gmin,L493&gt;=p_ipr_crit),"Critique",IF(L493&gt;=p_ipr_act,"Élevée",IF(L493&gt;=p_ipr_watch,"Moyenne","Faible"))))</f>
        <v/>
      </c>
      <c r="N493" s="54" t="str">
        <f>IF(OR(M493="",M493="À coter"),"",IF(OR(M493="Critique",M493="Élevée"),"Oui","Non"))</f>
        <v/>
      </c>
      <c r="O493" s="51" t="n"/>
      <c r="P493" s="51" t="n"/>
      <c r="Q493" s="55" t="n"/>
      <c r="R493" s="50" t="n"/>
      <c r="S493" s="55" t="n"/>
      <c r="T493" s="56" t="n"/>
      <c r="U493" s="52" t="n"/>
      <c r="V493" s="52" t="n"/>
      <c r="W493" s="52" t="n"/>
      <c r="X493" s="53" t="str">
        <f>IF(AND(L493&lt;&gt;"",IF(ISNUMBER(U493),AND(U493&gt;=1,U493&lt;=10,U493=INT(U493)),FALSE),IF(ISNUMBER(V493),AND(V493&gt;=1,V493&lt;=10,V493=INT(V493)),FALSE),IF(ISNUMBER(W493),AND(W493&gt;=1,W493&lt;=10,W493=INT(W493)),FALSE)),U493*V493*W493,"")</f>
        <v/>
      </c>
      <c r="Y493" s="54" t="str">
        <f>IF(X493="","",IF(OR(U493&gt;=p_gmin,X493&gt;=p_ipr_crit),"Critique",IF(X493&gt;=p_ipr_act,"Élevée",IF(X493&gt;=p_ipr_watch,"Moyenne","Faible"))))</f>
        <v/>
      </c>
      <c r="Z493" s="57" t="str">
        <f>IF(X493="","",(L493-X493)/L493)</f>
        <v/>
      </c>
      <c r="AA493" s="54" t="str">
        <f>IF(AND(D493="",O493=""),"",IF(O493="",IF(N493="Oui","Action à définir",IF(N493="Non","Sans action","")),IF(R493="Annulée","Annulée",IF(R493="Réalisée",IF(X493="","À réévaluer","Réalisée"),IF(N(Q493)=0,"Échéance manquante",IF(Q493&lt;p_today,"En retard",IF(Q493-p_today&lt;=p_alert,"Échéance proche","Dans les délais")))))))</f>
        <v/>
      </c>
      <c r="AB493" s="58" t="str">
        <f>IF(AND(A493="",B493="",D493="",F493="",H493="",K493="",O493=""),"",IF(D493="","Mode de défaillance manquant",IF(AND(A493&lt;&gt;"",COUNTIF(am_num,A493)&gt;1),"N° en double",IF(F493="","Gravité G manquante",IF(NOT(IF(ISNUMBER(F493),AND(F493&gt;=1,F493&lt;=10,F493=INT(F493)),FALSE)),"G : entier de 1 à 10",IF(H493="","Occurrence O manquante",IF(NOT(IF(ISNUMBER(H493),AND(H493&gt;=1,H493&lt;=10,H493=INT(H493)),FALSE)),"O : entier de 1 à 10",IF(K493="","Détection D manquante",IF(NOT(IF(ISNUMBER(K493),AND(K493&gt;=1,K493&lt;=10,K493=INT(K493)),FALSE)),"D : entier de 1 à 10",IF(G493="","Cause manquante",IF(AND(O493&lt;&gt;"",P493=""),"Responsable manquant",IF(AND(R493&lt;&gt;"",O493=""),"Statut sans action",IF(AND(R493="Réalisée",N(S493)=0),"Date de réalisation manquante",IF(AND(T493&lt;&gt;"",IF(ISNUMBER(T493),T493&lt;0,TRUE)),"Coût invalide",IF(AND(COUNTBLANK(U493:W493)&gt;0,COUNTBLANK(U493:W493)&lt;3),"Cotation après action incomplète",IF(AND(COUNTBLANK(U493:W493)=0,X493=""),"G', O', D' : entiers de 1 à 10",IF(AND(X493&lt;&gt;"",X493&gt;L493),"IPR après action plus élevé","OK")))))))))))))))))</f>
        <v/>
      </c>
      <c r="AC493" s="59" t="str">
        <f>IF(OR(AA493="En retard",AA493="Échéance proche",AA493="Dans les délais",AA493="Échéance manquante",AA493="Action à définir",AA493="À réévaluer"),IF(OR(plan_who="",P493=plan_who),IF(N(Q493)&gt;0,Q493,99999)*1000+ROW(),""),"")</f>
        <v/>
      </c>
      <c r="AD493" s="59" t="str">
        <f>IF(L493="","",L493*1000+1000-ROW())</f>
        <v/>
      </c>
      <c r="AE493" s="59" t="str">
        <f>IF(IF(AA493="En retard",1,IF(AA493="Action à définir",2,IF(AA493="Échéance manquante",3,IF(AA493="Échéance proche",4,IF(AA493="À réévaluer",5,0)))))=0,"",IF(AA493="En retard",1,IF(AA493="Action à définir",2,IF(AA493="Échéance manquante",3,IF(AA493="Échéance proche",4,IF(AA493="À réévaluer",5,0)))))*100000000+IF(N(Q493)&gt;0,Q493,99999)*1000+ROW())</f>
        <v/>
      </c>
      <c r="AF493" s="59" t="str">
        <f>IF(X493&lt;&gt;"",X493,L493)</f>
        <v/>
      </c>
      <c r="AG493" s="59" t="str">
        <f>IF(X493&lt;&gt;"",Y493,IF(L493&lt;&gt;"",M493,""))</f>
        <v/>
      </c>
      <c r="AH493" s="59" t="str">
        <f>IF(L493="","",IF(X493&lt;&gt;"",U493,F493))</f>
        <v/>
      </c>
      <c r="AI493" s="59" t="str">
        <f>IF(L493="","",IF(X493&lt;&gt;"",V493,H493))</f>
        <v/>
      </c>
    </row>
    <row r="494" ht="30" customHeight="1">
      <c r="A494" s="50" t="n"/>
      <c r="B494" s="51" t="n"/>
      <c r="C494" s="51" t="n"/>
      <c r="D494" s="51" t="n"/>
      <c r="E494" s="51" t="n"/>
      <c r="F494" s="52" t="n"/>
      <c r="G494" s="51" t="n"/>
      <c r="H494" s="52" t="n"/>
      <c r="I494" s="51" t="n"/>
      <c r="J494" s="51" t="n"/>
      <c r="K494" s="52" t="n"/>
      <c r="L494" s="53" t="str">
        <f>IF(AND(IF(ISNUMBER(F494),AND(F494&gt;=1,F494&lt;=10,F494=INT(F494)),FALSE),IF(ISNUMBER(H494),AND(H494&gt;=1,H494&lt;=10,H494=INT(H494)),FALSE),IF(ISNUMBER(K494),AND(K494&gt;=1,K494&lt;=10,K494=INT(K494)),FALSE)),F494*H494*K494,"")</f>
        <v/>
      </c>
      <c r="M494" s="54" t="str">
        <f>IF(L494="",IF(D494="","","À coter"),IF(OR(F494&gt;=p_gmin,L494&gt;=p_ipr_crit),"Critique",IF(L494&gt;=p_ipr_act,"Élevée",IF(L494&gt;=p_ipr_watch,"Moyenne","Faible"))))</f>
        <v/>
      </c>
      <c r="N494" s="54" t="str">
        <f>IF(OR(M494="",M494="À coter"),"",IF(OR(M494="Critique",M494="Élevée"),"Oui","Non"))</f>
        <v/>
      </c>
      <c r="O494" s="51" t="n"/>
      <c r="P494" s="51" t="n"/>
      <c r="Q494" s="55" t="n"/>
      <c r="R494" s="50" t="n"/>
      <c r="S494" s="55" t="n"/>
      <c r="T494" s="56" t="n"/>
      <c r="U494" s="52" t="n"/>
      <c r="V494" s="52" t="n"/>
      <c r="W494" s="52" t="n"/>
      <c r="X494" s="53" t="str">
        <f>IF(AND(L494&lt;&gt;"",IF(ISNUMBER(U494),AND(U494&gt;=1,U494&lt;=10,U494=INT(U494)),FALSE),IF(ISNUMBER(V494),AND(V494&gt;=1,V494&lt;=10,V494=INT(V494)),FALSE),IF(ISNUMBER(W494),AND(W494&gt;=1,W494&lt;=10,W494=INT(W494)),FALSE)),U494*V494*W494,"")</f>
        <v/>
      </c>
      <c r="Y494" s="54" t="str">
        <f>IF(X494="","",IF(OR(U494&gt;=p_gmin,X494&gt;=p_ipr_crit),"Critique",IF(X494&gt;=p_ipr_act,"Élevée",IF(X494&gt;=p_ipr_watch,"Moyenne","Faible"))))</f>
        <v/>
      </c>
      <c r="Z494" s="57" t="str">
        <f>IF(X494="","",(L494-X494)/L494)</f>
        <v/>
      </c>
      <c r="AA494" s="54" t="str">
        <f>IF(AND(D494="",O494=""),"",IF(O494="",IF(N494="Oui","Action à définir",IF(N494="Non","Sans action","")),IF(R494="Annulée","Annulée",IF(R494="Réalisée",IF(X494="","À réévaluer","Réalisée"),IF(N(Q494)=0,"Échéance manquante",IF(Q494&lt;p_today,"En retard",IF(Q494-p_today&lt;=p_alert,"Échéance proche","Dans les délais")))))))</f>
        <v/>
      </c>
      <c r="AB494" s="58" t="str">
        <f>IF(AND(A494="",B494="",D494="",F494="",H494="",K494="",O494=""),"",IF(D494="","Mode de défaillance manquant",IF(AND(A494&lt;&gt;"",COUNTIF(am_num,A494)&gt;1),"N° en double",IF(F494="","Gravité G manquante",IF(NOT(IF(ISNUMBER(F494),AND(F494&gt;=1,F494&lt;=10,F494=INT(F494)),FALSE)),"G : entier de 1 à 10",IF(H494="","Occurrence O manquante",IF(NOT(IF(ISNUMBER(H494),AND(H494&gt;=1,H494&lt;=10,H494=INT(H494)),FALSE)),"O : entier de 1 à 10",IF(K494="","Détection D manquante",IF(NOT(IF(ISNUMBER(K494),AND(K494&gt;=1,K494&lt;=10,K494=INT(K494)),FALSE)),"D : entier de 1 à 10",IF(G494="","Cause manquante",IF(AND(O494&lt;&gt;"",P494=""),"Responsable manquant",IF(AND(R494&lt;&gt;"",O494=""),"Statut sans action",IF(AND(R494="Réalisée",N(S494)=0),"Date de réalisation manquante",IF(AND(T494&lt;&gt;"",IF(ISNUMBER(T494),T494&lt;0,TRUE)),"Coût invalide",IF(AND(COUNTBLANK(U494:W494)&gt;0,COUNTBLANK(U494:W494)&lt;3),"Cotation après action incomplète",IF(AND(COUNTBLANK(U494:W494)=0,X494=""),"G', O', D' : entiers de 1 à 10",IF(AND(X494&lt;&gt;"",X494&gt;L494),"IPR après action plus élevé","OK")))))))))))))))))</f>
        <v/>
      </c>
      <c r="AC494" s="59" t="str">
        <f>IF(OR(AA494="En retard",AA494="Échéance proche",AA494="Dans les délais",AA494="Échéance manquante",AA494="Action à définir",AA494="À réévaluer"),IF(OR(plan_who="",P494=plan_who),IF(N(Q494)&gt;0,Q494,99999)*1000+ROW(),""),"")</f>
        <v/>
      </c>
      <c r="AD494" s="59" t="str">
        <f>IF(L494="","",L494*1000+1000-ROW())</f>
        <v/>
      </c>
      <c r="AE494" s="59" t="str">
        <f>IF(IF(AA494="En retard",1,IF(AA494="Action à définir",2,IF(AA494="Échéance manquante",3,IF(AA494="Échéance proche",4,IF(AA494="À réévaluer",5,0)))))=0,"",IF(AA494="En retard",1,IF(AA494="Action à définir",2,IF(AA494="Échéance manquante",3,IF(AA494="Échéance proche",4,IF(AA494="À réévaluer",5,0)))))*100000000+IF(N(Q494)&gt;0,Q494,99999)*1000+ROW())</f>
        <v/>
      </c>
      <c r="AF494" s="59" t="str">
        <f>IF(X494&lt;&gt;"",X494,L494)</f>
        <v/>
      </c>
      <c r="AG494" s="59" t="str">
        <f>IF(X494&lt;&gt;"",Y494,IF(L494&lt;&gt;"",M494,""))</f>
        <v/>
      </c>
      <c r="AH494" s="59" t="str">
        <f>IF(L494="","",IF(X494&lt;&gt;"",U494,F494))</f>
        <v/>
      </c>
      <c r="AI494" s="59" t="str">
        <f>IF(L494="","",IF(X494&lt;&gt;"",V494,H494))</f>
        <v/>
      </c>
    </row>
    <row r="495" ht="30" customHeight="1">
      <c r="A495" s="50" t="n"/>
      <c r="B495" s="51" t="n"/>
      <c r="C495" s="51" t="n"/>
      <c r="D495" s="51" t="n"/>
      <c r="E495" s="51" t="n"/>
      <c r="F495" s="52" t="n"/>
      <c r="G495" s="51" t="n"/>
      <c r="H495" s="52" t="n"/>
      <c r="I495" s="51" t="n"/>
      <c r="J495" s="51" t="n"/>
      <c r="K495" s="52" t="n"/>
      <c r="L495" s="53" t="str">
        <f>IF(AND(IF(ISNUMBER(F495),AND(F495&gt;=1,F495&lt;=10,F495=INT(F495)),FALSE),IF(ISNUMBER(H495),AND(H495&gt;=1,H495&lt;=10,H495=INT(H495)),FALSE),IF(ISNUMBER(K495),AND(K495&gt;=1,K495&lt;=10,K495=INT(K495)),FALSE)),F495*H495*K495,"")</f>
        <v/>
      </c>
      <c r="M495" s="54" t="str">
        <f>IF(L495="",IF(D495="","","À coter"),IF(OR(F495&gt;=p_gmin,L495&gt;=p_ipr_crit),"Critique",IF(L495&gt;=p_ipr_act,"Élevée",IF(L495&gt;=p_ipr_watch,"Moyenne","Faible"))))</f>
        <v/>
      </c>
      <c r="N495" s="54" t="str">
        <f>IF(OR(M495="",M495="À coter"),"",IF(OR(M495="Critique",M495="Élevée"),"Oui","Non"))</f>
        <v/>
      </c>
      <c r="O495" s="51" t="n"/>
      <c r="P495" s="51" t="n"/>
      <c r="Q495" s="55" t="n"/>
      <c r="R495" s="50" t="n"/>
      <c r="S495" s="55" t="n"/>
      <c r="T495" s="56" t="n"/>
      <c r="U495" s="52" t="n"/>
      <c r="V495" s="52" t="n"/>
      <c r="W495" s="52" t="n"/>
      <c r="X495" s="53" t="str">
        <f>IF(AND(L495&lt;&gt;"",IF(ISNUMBER(U495),AND(U495&gt;=1,U495&lt;=10,U495=INT(U495)),FALSE),IF(ISNUMBER(V495),AND(V495&gt;=1,V495&lt;=10,V495=INT(V495)),FALSE),IF(ISNUMBER(W495),AND(W495&gt;=1,W495&lt;=10,W495=INT(W495)),FALSE)),U495*V495*W495,"")</f>
        <v/>
      </c>
      <c r="Y495" s="54" t="str">
        <f>IF(X495="","",IF(OR(U495&gt;=p_gmin,X495&gt;=p_ipr_crit),"Critique",IF(X495&gt;=p_ipr_act,"Élevée",IF(X495&gt;=p_ipr_watch,"Moyenne","Faible"))))</f>
        <v/>
      </c>
      <c r="Z495" s="57" t="str">
        <f>IF(X495="","",(L495-X495)/L495)</f>
        <v/>
      </c>
      <c r="AA495" s="54" t="str">
        <f>IF(AND(D495="",O495=""),"",IF(O495="",IF(N495="Oui","Action à définir",IF(N495="Non","Sans action","")),IF(R495="Annulée","Annulée",IF(R495="Réalisée",IF(X495="","À réévaluer","Réalisée"),IF(N(Q495)=0,"Échéance manquante",IF(Q495&lt;p_today,"En retard",IF(Q495-p_today&lt;=p_alert,"Échéance proche","Dans les délais")))))))</f>
        <v/>
      </c>
      <c r="AB495" s="58" t="str">
        <f>IF(AND(A495="",B495="",D495="",F495="",H495="",K495="",O495=""),"",IF(D495="","Mode de défaillance manquant",IF(AND(A495&lt;&gt;"",COUNTIF(am_num,A495)&gt;1),"N° en double",IF(F495="","Gravité G manquante",IF(NOT(IF(ISNUMBER(F495),AND(F495&gt;=1,F495&lt;=10,F495=INT(F495)),FALSE)),"G : entier de 1 à 10",IF(H495="","Occurrence O manquante",IF(NOT(IF(ISNUMBER(H495),AND(H495&gt;=1,H495&lt;=10,H495=INT(H495)),FALSE)),"O : entier de 1 à 10",IF(K495="","Détection D manquante",IF(NOT(IF(ISNUMBER(K495),AND(K495&gt;=1,K495&lt;=10,K495=INT(K495)),FALSE)),"D : entier de 1 à 10",IF(G495="","Cause manquante",IF(AND(O495&lt;&gt;"",P495=""),"Responsable manquant",IF(AND(R495&lt;&gt;"",O495=""),"Statut sans action",IF(AND(R495="Réalisée",N(S495)=0),"Date de réalisation manquante",IF(AND(T495&lt;&gt;"",IF(ISNUMBER(T495),T495&lt;0,TRUE)),"Coût invalide",IF(AND(COUNTBLANK(U495:W495)&gt;0,COUNTBLANK(U495:W495)&lt;3),"Cotation après action incomplète",IF(AND(COUNTBLANK(U495:W495)=0,X495=""),"G', O', D' : entiers de 1 à 10",IF(AND(X495&lt;&gt;"",X495&gt;L495),"IPR après action plus élevé","OK")))))))))))))))))</f>
        <v/>
      </c>
      <c r="AC495" s="59" t="str">
        <f>IF(OR(AA495="En retard",AA495="Échéance proche",AA495="Dans les délais",AA495="Échéance manquante",AA495="Action à définir",AA495="À réévaluer"),IF(OR(plan_who="",P495=plan_who),IF(N(Q495)&gt;0,Q495,99999)*1000+ROW(),""),"")</f>
        <v/>
      </c>
      <c r="AD495" s="59" t="str">
        <f>IF(L495="","",L495*1000+1000-ROW())</f>
        <v/>
      </c>
      <c r="AE495" s="59" t="str">
        <f>IF(IF(AA495="En retard",1,IF(AA495="Action à définir",2,IF(AA495="Échéance manquante",3,IF(AA495="Échéance proche",4,IF(AA495="À réévaluer",5,0)))))=0,"",IF(AA495="En retard",1,IF(AA495="Action à définir",2,IF(AA495="Échéance manquante",3,IF(AA495="Échéance proche",4,IF(AA495="À réévaluer",5,0)))))*100000000+IF(N(Q495)&gt;0,Q495,99999)*1000+ROW())</f>
        <v/>
      </c>
      <c r="AF495" s="59" t="str">
        <f>IF(X495&lt;&gt;"",X495,L495)</f>
        <v/>
      </c>
      <c r="AG495" s="59" t="str">
        <f>IF(X495&lt;&gt;"",Y495,IF(L495&lt;&gt;"",M495,""))</f>
        <v/>
      </c>
      <c r="AH495" s="59" t="str">
        <f>IF(L495="","",IF(X495&lt;&gt;"",U495,F495))</f>
        <v/>
      </c>
      <c r="AI495" s="59" t="str">
        <f>IF(L495="","",IF(X495&lt;&gt;"",V495,H495))</f>
        <v/>
      </c>
    </row>
    <row r="496" ht="30" customHeight="1">
      <c r="A496" s="50" t="n"/>
      <c r="B496" s="51" t="n"/>
      <c r="C496" s="51" t="n"/>
      <c r="D496" s="51" t="n"/>
      <c r="E496" s="51" t="n"/>
      <c r="F496" s="52" t="n"/>
      <c r="G496" s="51" t="n"/>
      <c r="H496" s="52" t="n"/>
      <c r="I496" s="51" t="n"/>
      <c r="J496" s="51" t="n"/>
      <c r="K496" s="52" t="n"/>
      <c r="L496" s="53" t="str">
        <f>IF(AND(IF(ISNUMBER(F496),AND(F496&gt;=1,F496&lt;=10,F496=INT(F496)),FALSE),IF(ISNUMBER(H496),AND(H496&gt;=1,H496&lt;=10,H496=INT(H496)),FALSE),IF(ISNUMBER(K496),AND(K496&gt;=1,K496&lt;=10,K496=INT(K496)),FALSE)),F496*H496*K496,"")</f>
        <v/>
      </c>
      <c r="M496" s="54" t="str">
        <f>IF(L496="",IF(D496="","","À coter"),IF(OR(F496&gt;=p_gmin,L496&gt;=p_ipr_crit),"Critique",IF(L496&gt;=p_ipr_act,"Élevée",IF(L496&gt;=p_ipr_watch,"Moyenne","Faible"))))</f>
        <v/>
      </c>
      <c r="N496" s="54" t="str">
        <f>IF(OR(M496="",M496="À coter"),"",IF(OR(M496="Critique",M496="Élevée"),"Oui","Non"))</f>
        <v/>
      </c>
      <c r="O496" s="51" t="n"/>
      <c r="P496" s="51" t="n"/>
      <c r="Q496" s="55" t="n"/>
      <c r="R496" s="50" t="n"/>
      <c r="S496" s="55" t="n"/>
      <c r="T496" s="56" t="n"/>
      <c r="U496" s="52" t="n"/>
      <c r="V496" s="52" t="n"/>
      <c r="W496" s="52" t="n"/>
      <c r="X496" s="53" t="str">
        <f>IF(AND(L496&lt;&gt;"",IF(ISNUMBER(U496),AND(U496&gt;=1,U496&lt;=10,U496=INT(U496)),FALSE),IF(ISNUMBER(V496),AND(V496&gt;=1,V496&lt;=10,V496=INT(V496)),FALSE),IF(ISNUMBER(W496),AND(W496&gt;=1,W496&lt;=10,W496=INT(W496)),FALSE)),U496*V496*W496,"")</f>
        <v/>
      </c>
      <c r="Y496" s="54" t="str">
        <f>IF(X496="","",IF(OR(U496&gt;=p_gmin,X496&gt;=p_ipr_crit),"Critique",IF(X496&gt;=p_ipr_act,"Élevée",IF(X496&gt;=p_ipr_watch,"Moyenne","Faible"))))</f>
        <v/>
      </c>
      <c r="Z496" s="57" t="str">
        <f>IF(X496="","",(L496-X496)/L496)</f>
        <v/>
      </c>
      <c r="AA496" s="54" t="str">
        <f>IF(AND(D496="",O496=""),"",IF(O496="",IF(N496="Oui","Action à définir",IF(N496="Non","Sans action","")),IF(R496="Annulée","Annulée",IF(R496="Réalisée",IF(X496="","À réévaluer","Réalisée"),IF(N(Q496)=0,"Échéance manquante",IF(Q496&lt;p_today,"En retard",IF(Q496-p_today&lt;=p_alert,"Échéance proche","Dans les délais")))))))</f>
        <v/>
      </c>
      <c r="AB496" s="58" t="str">
        <f>IF(AND(A496="",B496="",D496="",F496="",H496="",K496="",O496=""),"",IF(D496="","Mode de défaillance manquant",IF(AND(A496&lt;&gt;"",COUNTIF(am_num,A496)&gt;1),"N° en double",IF(F496="","Gravité G manquante",IF(NOT(IF(ISNUMBER(F496),AND(F496&gt;=1,F496&lt;=10,F496=INT(F496)),FALSE)),"G : entier de 1 à 10",IF(H496="","Occurrence O manquante",IF(NOT(IF(ISNUMBER(H496),AND(H496&gt;=1,H496&lt;=10,H496=INT(H496)),FALSE)),"O : entier de 1 à 10",IF(K496="","Détection D manquante",IF(NOT(IF(ISNUMBER(K496),AND(K496&gt;=1,K496&lt;=10,K496=INT(K496)),FALSE)),"D : entier de 1 à 10",IF(G496="","Cause manquante",IF(AND(O496&lt;&gt;"",P496=""),"Responsable manquant",IF(AND(R496&lt;&gt;"",O496=""),"Statut sans action",IF(AND(R496="Réalisée",N(S496)=0),"Date de réalisation manquante",IF(AND(T496&lt;&gt;"",IF(ISNUMBER(T496),T496&lt;0,TRUE)),"Coût invalide",IF(AND(COUNTBLANK(U496:W496)&gt;0,COUNTBLANK(U496:W496)&lt;3),"Cotation après action incomplète",IF(AND(COUNTBLANK(U496:W496)=0,X496=""),"G', O', D' : entiers de 1 à 10",IF(AND(X496&lt;&gt;"",X496&gt;L496),"IPR après action plus élevé","OK")))))))))))))))))</f>
        <v/>
      </c>
      <c r="AC496" s="59" t="str">
        <f>IF(OR(AA496="En retard",AA496="Échéance proche",AA496="Dans les délais",AA496="Échéance manquante",AA496="Action à définir",AA496="À réévaluer"),IF(OR(plan_who="",P496=plan_who),IF(N(Q496)&gt;0,Q496,99999)*1000+ROW(),""),"")</f>
        <v/>
      </c>
      <c r="AD496" s="59" t="str">
        <f>IF(L496="","",L496*1000+1000-ROW())</f>
        <v/>
      </c>
      <c r="AE496" s="59" t="str">
        <f>IF(IF(AA496="En retard",1,IF(AA496="Action à définir",2,IF(AA496="Échéance manquante",3,IF(AA496="Échéance proche",4,IF(AA496="À réévaluer",5,0)))))=0,"",IF(AA496="En retard",1,IF(AA496="Action à définir",2,IF(AA496="Échéance manquante",3,IF(AA496="Échéance proche",4,IF(AA496="À réévaluer",5,0)))))*100000000+IF(N(Q496)&gt;0,Q496,99999)*1000+ROW())</f>
        <v/>
      </c>
      <c r="AF496" s="59" t="str">
        <f>IF(X496&lt;&gt;"",X496,L496)</f>
        <v/>
      </c>
      <c r="AG496" s="59" t="str">
        <f>IF(X496&lt;&gt;"",Y496,IF(L496&lt;&gt;"",M496,""))</f>
        <v/>
      </c>
      <c r="AH496" s="59" t="str">
        <f>IF(L496="","",IF(X496&lt;&gt;"",U496,F496))</f>
        <v/>
      </c>
      <c r="AI496" s="59" t="str">
        <f>IF(L496="","",IF(X496&lt;&gt;"",V496,H496))</f>
        <v/>
      </c>
    </row>
    <row r="497" ht="30" customHeight="1">
      <c r="A497" s="50" t="n"/>
      <c r="B497" s="51" t="n"/>
      <c r="C497" s="51" t="n"/>
      <c r="D497" s="51" t="n"/>
      <c r="E497" s="51" t="n"/>
      <c r="F497" s="52" t="n"/>
      <c r="G497" s="51" t="n"/>
      <c r="H497" s="52" t="n"/>
      <c r="I497" s="51" t="n"/>
      <c r="J497" s="51" t="n"/>
      <c r="K497" s="52" t="n"/>
      <c r="L497" s="53" t="str">
        <f>IF(AND(IF(ISNUMBER(F497),AND(F497&gt;=1,F497&lt;=10,F497=INT(F497)),FALSE),IF(ISNUMBER(H497),AND(H497&gt;=1,H497&lt;=10,H497=INT(H497)),FALSE),IF(ISNUMBER(K497),AND(K497&gt;=1,K497&lt;=10,K497=INT(K497)),FALSE)),F497*H497*K497,"")</f>
        <v/>
      </c>
      <c r="M497" s="54" t="str">
        <f>IF(L497="",IF(D497="","","À coter"),IF(OR(F497&gt;=p_gmin,L497&gt;=p_ipr_crit),"Critique",IF(L497&gt;=p_ipr_act,"Élevée",IF(L497&gt;=p_ipr_watch,"Moyenne","Faible"))))</f>
        <v/>
      </c>
      <c r="N497" s="54" t="str">
        <f>IF(OR(M497="",M497="À coter"),"",IF(OR(M497="Critique",M497="Élevée"),"Oui","Non"))</f>
        <v/>
      </c>
      <c r="O497" s="51" t="n"/>
      <c r="P497" s="51" t="n"/>
      <c r="Q497" s="55" t="n"/>
      <c r="R497" s="50" t="n"/>
      <c r="S497" s="55" t="n"/>
      <c r="T497" s="56" t="n"/>
      <c r="U497" s="52" t="n"/>
      <c r="V497" s="52" t="n"/>
      <c r="W497" s="52" t="n"/>
      <c r="X497" s="53" t="str">
        <f>IF(AND(L497&lt;&gt;"",IF(ISNUMBER(U497),AND(U497&gt;=1,U497&lt;=10,U497=INT(U497)),FALSE),IF(ISNUMBER(V497),AND(V497&gt;=1,V497&lt;=10,V497=INT(V497)),FALSE),IF(ISNUMBER(W497),AND(W497&gt;=1,W497&lt;=10,W497=INT(W497)),FALSE)),U497*V497*W497,"")</f>
        <v/>
      </c>
      <c r="Y497" s="54" t="str">
        <f>IF(X497="","",IF(OR(U497&gt;=p_gmin,X497&gt;=p_ipr_crit),"Critique",IF(X497&gt;=p_ipr_act,"Élevée",IF(X497&gt;=p_ipr_watch,"Moyenne","Faible"))))</f>
        <v/>
      </c>
      <c r="Z497" s="57" t="str">
        <f>IF(X497="","",(L497-X497)/L497)</f>
        <v/>
      </c>
      <c r="AA497" s="54" t="str">
        <f>IF(AND(D497="",O497=""),"",IF(O497="",IF(N497="Oui","Action à définir",IF(N497="Non","Sans action","")),IF(R497="Annulée","Annulée",IF(R497="Réalisée",IF(X497="","À réévaluer","Réalisée"),IF(N(Q497)=0,"Échéance manquante",IF(Q497&lt;p_today,"En retard",IF(Q497-p_today&lt;=p_alert,"Échéance proche","Dans les délais")))))))</f>
        <v/>
      </c>
      <c r="AB497" s="58" t="str">
        <f>IF(AND(A497="",B497="",D497="",F497="",H497="",K497="",O497=""),"",IF(D497="","Mode de défaillance manquant",IF(AND(A497&lt;&gt;"",COUNTIF(am_num,A497)&gt;1),"N° en double",IF(F497="","Gravité G manquante",IF(NOT(IF(ISNUMBER(F497),AND(F497&gt;=1,F497&lt;=10,F497=INT(F497)),FALSE)),"G : entier de 1 à 10",IF(H497="","Occurrence O manquante",IF(NOT(IF(ISNUMBER(H497),AND(H497&gt;=1,H497&lt;=10,H497=INT(H497)),FALSE)),"O : entier de 1 à 10",IF(K497="","Détection D manquante",IF(NOT(IF(ISNUMBER(K497),AND(K497&gt;=1,K497&lt;=10,K497=INT(K497)),FALSE)),"D : entier de 1 à 10",IF(G497="","Cause manquante",IF(AND(O497&lt;&gt;"",P497=""),"Responsable manquant",IF(AND(R497&lt;&gt;"",O497=""),"Statut sans action",IF(AND(R497="Réalisée",N(S497)=0),"Date de réalisation manquante",IF(AND(T497&lt;&gt;"",IF(ISNUMBER(T497),T497&lt;0,TRUE)),"Coût invalide",IF(AND(COUNTBLANK(U497:W497)&gt;0,COUNTBLANK(U497:W497)&lt;3),"Cotation après action incomplète",IF(AND(COUNTBLANK(U497:W497)=0,X497=""),"G', O', D' : entiers de 1 à 10",IF(AND(X497&lt;&gt;"",X497&gt;L497),"IPR après action plus élevé","OK")))))))))))))))))</f>
        <v/>
      </c>
      <c r="AC497" s="59" t="str">
        <f>IF(OR(AA497="En retard",AA497="Échéance proche",AA497="Dans les délais",AA497="Échéance manquante",AA497="Action à définir",AA497="À réévaluer"),IF(OR(plan_who="",P497=plan_who),IF(N(Q497)&gt;0,Q497,99999)*1000+ROW(),""),"")</f>
        <v/>
      </c>
      <c r="AD497" s="59" t="str">
        <f>IF(L497="","",L497*1000+1000-ROW())</f>
        <v/>
      </c>
      <c r="AE497" s="59" t="str">
        <f>IF(IF(AA497="En retard",1,IF(AA497="Action à définir",2,IF(AA497="Échéance manquante",3,IF(AA497="Échéance proche",4,IF(AA497="À réévaluer",5,0)))))=0,"",IF(AA497="En retard",1,IF(AA497="Action à définir",2,IF(AA497="Échéance manquante",3,IF(AA497="Échéance proche",4,IF(AA497="À réévaluer",5,0)))))*100000000+IF(N(Q497)&gt;0,Q497,99999)*1000+ROW())</f>
        <v/>
      </c>
      <c r="AF497" s="59" t="str">
        <f>IF(X497&lt;&gt;"",X497,L497)</f>
        <v/>
      </c>
      <c r="AG497" s="59" t="str">
        <f>IF(X497&lt;&gt;"",Y497,IF(L497&lt;&gt;"",M497,""))</f>
        <v/>
      </c>
      <c r="AH497" s="59" t="str">
        <f>IF(L497="","",IF(X497&lt;&gt;"",U497,F497))</f>
        <v/>
      </c>
      <c r="AI497" s="59" t="str">
        <f>IF(L497="","",IF(X497&lt;&gt;"",V497,H497))</f>
        <v/>
      </c>
    </row>
    <row r="498" ht="30" customHeight="1">
      <c r="A498" s="50" t="n"/>
      <c r="B498" s="51" t="n"/>
      <c r="C498" s="51" t="n"/>
      <c r="D498" s="51" t="n"/>
      <c r="E498" s="51" t="n"/>
      <c r="F498" s="52" t="n"/>
      <c r="G498" s="51" t="n"/>
      <c r="H498" s="52" t="n"/>
      <c r="I498" s="51" t="n"/>
      <c r="J498" s="51" t="n"/>
      <c r="K498" s="52" t="n"/>
      <c r="L498" s="53" t="str">
        <f>IF(AND(IF(ISNUMBER(F498),AND(F498&gt;=1,F498&lt;=10,F498=INT(F498)),FALSE),IF(ISNUMBER(H498),AND(H498&gt;=1,H498&lt;=10,H498=INT(H498)),FALSE),IF(ISNUMBER(K498),AND(K498&gt;=1,K498&lt;=10,K498=INT(K498)),FALSE)),F498*H498*K498,"")</f>
        <v/>
      </c>
      <c r="M498" s="54" t="str">
        <f>IF(L498="",IF(D498="","","À coter"),IF(OR(F498&gt;=p_gmin,L498&gt;=p_ipr_crit),"Critique",IF(L498&gt;=p_ipr_act,"Élevée",IF(L498&gt;=p_ipr_watch,"Moyenne","Faible"))))</f>
        <v/>
      </c>
      <c r="N498" s="54" t="str">
        <f>IF(OR(M498="",M498="À coter"),"",IF(OR(M498="Critique",M498="Élevée"),"Oui","Non"))</f>
        <v/>
      </c>
      <c r="O498" s="51" t="n"/>
      <c r="P498" s="51" t="n"/>
      <c r="Q498" s="55" t="n"/>
      <c r="R498" s="50" t="n"/>
      <c r="S498" s="55" t="n"/>
      <c r="T498" s="56" t="n"/>
      <c r="U498" s="52" t="n"/>
      <c r="V498" s="52" t="n"/>
      <c r="W498" s="52" t="n"/>
      <c r="X498" s="53" t="str">
        <f>IF(AND(L498&lt;&gt;"",IF(ISNUMBER(U498),AND(U498&gt;=1,U498&lt;=10,U498=INT(U498)),FALSE),IF(ISNUMBER(V498),AND(V498&gt;=1,V498&lt;=10,V498=INT(V498)),FALSE),IF(ISNUMBER(W498),AND(W498&gt;=1,W498&lt;=10,W498=INT(W498)),FALSE)),U498*V498*W498,"")</f>
        <v/>
      </c>
      <c r="Y498" s="54" t="str">
        <f>IF(X498="","",IF(OR(U498&gt;=p_gmin,X498&gt;=p_ipr_crit),"Critique",IF(X498&gt;=p_ipr_act,"Élevée",IF(X498&gt;=p_ipr_watch,"Moyenne","Faible"))))</f>
        <v/>
      </c>
      <c r="Z498" s="57" t="str">
        <f>IF(X498="","",(L498-X498)/L498)</f>
        <v/>
      </c>
      <c r="AA498" s="54" t="str">
        <f>IF(AND(D498="",O498=""),"",IF(O498="",IF(N498="Oui","Action à définir",IF(N498="Non","Sans action","")),IF(R498="Annulée","Annulée",IF(R498="Réalisée",IF(X498="","À réévaluer","Réalisée"),IF(N(Q498)=0,"Échéance manquante",IF(Q498&lt;p_today,"En retard",IF(Q498-p_today&lt;=p_alert,"Échéance proche","Dans les délais")))))))</f>
        <v/>
      </c>
      <c r="AB498" s="58" t="str">
        <f>IF(AND(A498="",B498="",D498="",F498="",H498="",K498="",O498=""),"",IF(D498="","Mode de défaillance manquant",IF(AND(A498&lt;&gt;"",COUNTIF(am_num,A498)&gt;1),"N° en double",IF(F498="","Gravité G manquante",IF(NOT(IF(ISNUMBER(F498),AND(F498&gt;=1,F498&lt;=10,F498=INT(F498)),FALSE)),"G : entier de 1 à 10",IF(H498="","Occurrence O manquante",IF(NOT(IF(ISNUMBER(H498),AND(H498&gt;=1,H498&lt;=10,H498=INT(H498)),FALSE)),"O : entier de 1 à 10",IF(K498="","Détection D manquante",IF(NOT(IF(ISNUMBER(K498),AND(K498&gt;=1,K498&lt;=10,K498=INT(K498)),FALSE)),"D : entier de 1 à 10",IF(G498="","Cause manquante",IF(AND(O498&lt;&gt;"",P498=""),"Responsable manquant",IF(AND(R498&lt;&gt;"",O498=""),"Statut sans action",IF(AND(R498="Réalisée",N(S498)=0),"Date de réalisation manquante",IF(AND(T498&lt;&gt;"",IF(ISNUMBER(T498),T498&lt;0,TRUE)),"Coût invalide",IF(AND(COUNTBLANK(U498:W498)&gt;0,COUNTBLANK(U498:W498)&lt;3),"Cotation après action incomplète",IF(AND(COUNTBLANK(U498:W498)=0,X498=""),"G', O', D' : entiers de 1 à 10",IF(AND(X498&lt;&gt;"",X498&gt;L498),"IPR après action plus élevé","OK")))))))))))))))))</f>
        <v/>
      </c>
      <c r="AC498" s="59" t="str">
        <f>IF(OR(AA498="En retard",AA498="Échéance proche",AA498="Dans les délais",AA498="Échéance manquante",AA498="Action à définir",AA498="À réévaluer"),IF(OR(plan_who="",P498=plan_who),IF(N(Q498)&gt;0,Q498,99999)*1000+ROW(),""),"")</f>
        <v/>
      </c>
      <c r="AD498" s="59" t="str">
        <f>IF(L498="","",L498*1000+1000-ROW())</f>
        <v/>
      </c>
      <c r="AE498" s="59" t="str">
        <f>IF(IF(AA498="En retard",1,IF(AA498="Action à définir",2,IF(AA498="Échéance manquante",3,IF(AA498="Échéance proche",4,IF(AA498="À réévaluer",5,0)))))=0,"",IF(AA498="En retard",1,IF(AA498="Action à définir",2,IF(AA498="Échéance manquante",3,IF(AA498="Échéance proche",4,IF(AA498="À réévaluer",5,0)))))*100000000+IF(N(Q498)&gt;0,Q498,99999)*1000+ROW())</f>
        <v/>
      </c>
      <c r="AF498" s="59" t="str">
        <f>IF(X498&lt;&gt;"",X498,L498)</f>
        <v/>
      </c>
      <c r="AG498" s="59" t="str">
        <f>IF(X498&lt;&gt;"",Y498,IF(L498&lt;&gt;"",M498,""))</f>
        <v/>
      </c>
      <c r="AH498" s="59" t="str">
        <f>IF(L498="","",IF(X498&lt;&gt;"",U498,F498))</f>
        <v/>
      </c>
      <c r="AI498" s="59" t="str">
        <f>IF(L498="","",IF(X498&lt;&gt;"",V498,H498))</f>
        <v/>
      </c>
    </row>
    <row r="499" ht="30" customHeight="1">
      <c r="A499" s="50" t="n"/>
      <c r="B499" s="51" t="n"/>
      <c r="C499" s="51" t="n"/>
      <c r="D499" s="51" t="n"/>
      <c r="E499" s="51" t="n"/>
      <c r="F499" s="52" t="n"/>
      <c r="G499" s="51" t="n"/>
      <c r="H499" s="52" t="n"/>
      <c r="I499" s="51" t="n"/>
      <c r="J499" s="51" t="n"/>
      <c r="K499" s="52" t="n"/>
      <c r="L499" s="53" t="str">
        <f>IF(AND(IF(ISNUMBER(F499),AND(F499&gt;=1,F499&lt;=10,F499=INT(F499)),FALSE),IF(ISNUMBER(H499),AND(H499&gt;=1,H499&lt;=10,H499=INT(H499)),FALSE),IF(ISNUMBER(K499),AND(K499&gt;=1,K499&lt;=10,K499=INT(K499)),FALSE)),F499*H499*K499,"")</f>
        <v/>
      </c>
      <c r="M499" s="54" t="str">
        <f>IF(L499="",IF(D499="","","À coter"),IF(OR(F499&gt;=p_gmin,L499&gt;=p_ipr_crit),"Critique",IF(L499&gt;=p_ipr_act,"Élevée",IF(L499&gt;=p_ipr_watch,"Moyenne","Faible"))))</f>
        <v/>
      </c>
      <c r="N499" s="54" t="str">
        <f>IF(OR(M499="",M499="À coter"),"",IF(OR(M499="Critique",M499="Élevée"),"Oui","Non"))</f>
        <v/>
      </c>
      <c r="O499" s="51" t="n"/>
      <c r="P499" s="51" t="n"/>
      <c r="Q499" s="55" t="n"/>
      <c r="R499" s="50" t="n"/>
      <c r="S499" s="55" t="n"/>
      <c r="T499" s="56" t="n"/>
      <c r="U499" s="52" t="n"/>
      <c r="V499" s="52" t="n"/>
      <c r="W499" s="52" t="n"/>
      <c r="X499" s="53" t="str">
        <f>IF(AND(L499&lt;&gt;"",IF(ISNUMBER(U499),AND(U499&gt;=1,U499&lt;=10,U499=INT(U499)),FALSE),IF(ISNUMBER(V499),AND(V499&gt;=1,V499&lt;=10,V499=INT(V499)),FALSE),IF(ISNUMBER(W499),AND(W499&gt;=1,W499&lt;=10,W499=INT(W499)),FALSE)),U499*V499*W499,"")</f>
        <v/>
      </c>
      <c r="Y499" s="54" t="str">
        <f>IF(X499="","",IF(OR(U499&gt;=p_gmin,X499&gt;=p_ipr_crit),"Critique",IF(X499&gt;=p_ipr_act,"Élevée",IF(X499&gt;=p_ipr_watch,"Moyenne","Faible"))))</f>
        <v/>
      </c>
      <c r="Z499" s="57" t="str">
        <f>IF(X499="","",(L499-X499)/L499)</f>
        <v/>
      </c>
      <c r="AA499" s="54" t="str">
        <f>IF(AND(D499="",O499=""),"",IF(O499="",IF(N499="Oui","Action à définir",IF(N499="Non","Sans action","")),IF(R499="Annulée","Annulée",IF(R499="Réalisée",IF(X499="","À réévaluer","Réalisée"),IF(N(Q499)=0,"Échéance manquante",IF(Q499&lt;p_today,"En retard",IF(Q499-p_today&lt;=p_alert,"Échéance proche","Dans les délais")))))))</f>
        <v/>
      </c>
      <c r="AB499" s="58" t="str">
        <f>IF(AND(A499="",B499="",D499="",F499="",H499="",K499="",O499=""),"",IF(D499="","Mode de défaillance manquant",IF(AND(A499&lt;&gt;"",COUNTIF(am_num,A499)&gt;1),"N° en double",IF(F499="","Gravité G manquante",IF(NOT(IF(ISNUMBER(F499),AND(F499&gt;=1,F499&lt;=10,F499=INT(F499)),FALSE)),"G : entier de 1 à 10",IF(H499="","Occurrence O manquante",IF(NOT(IF(ISNUMBER(H499),AND(H499&gt;=1,H499&lt;=10,H499=INT(H499)),FALSE)),"O : entier de 1 à 10",IF(K499="","Détection D manquante",IF(NOT(IF(ISNUMBER(K499),AND(K499&gt;=1,K499&lt;=10,K499=INT(K499)),FALSE)),"D : entier de 1 à 10",IF(G499="","Cause manquante",IF(AND(O499&lt;&gt;"",P499=""),"Responsable manquant",IF(AND(R499&lt;&gt;"",O499=""),"Statut sans action",IF(AND(R499="Réalisée",N(S499)=0),"Date de réalisation manquante",IF(AND(T499&lt;&gt;"",IF(ISNUMBER(T499),T499&lt;0,TRUE)),"Coût invalide",IF(AND(COUNTBLANK(U499:W499)&gt;0,COUNTBLANK(U499:W499)&lt;3),"Cotation après action incomplète",IF(AND(COUNTBLANK(U499:W499)=0,X499=""),"G', O', D' : entiers de 1 à 10",IF(AND(X499&lt;&gt;"",X499&gt;L499),"IPR après action plus élevé","OK")))))))))))))))))</f>
        <v/>
      </c>
      <c r="AC499" s="59" t="str">
        <f>IF(OR(AA499="En retard",AA499="Échéance proche",AA499="Dans les délais",AA499="Échéance manquante",AA499="Action à définir",AA499="À réévaluer"),IF(OR(plan_who="",P499=plan_who),IF(N(Q499)&gt;0,Q499,99999)*1000+ROW(),""),"")</f>
        <v/>
      </c>
      <c r="AD499" s="59" t="str">
        <f>IF(L499="","",L499*1000+1000-ROW())</f>
        <v/>
      </c>
      <c r="AE499" s="59" t="str">
        <f>IF(IF(AA499="En retard",1,IF(AA499="Action à définir",2,IF(AA499="Échéance manquante",3,IF(AA499="Échéance proche",4,IF(AA499="À réévaluer",5,0)))))=0,"",IF(AA499="En retard",1,IF(AA499="Action à définir",2,IF(AA499="Échéance manquante",3,IF(AA499="Échéance proche",4,IF(AA499="À réévaluer",5,0)))))*100000000+IF(N(Q499)&gt;0,Q499,99999)*1000+ROW())</f>
        <v/>
      </c>
      <c r="AF499" s="59" t="str">
        <f>IF(X499&lt;&gt;"",X499,L499)</f>
        <v/>
      </c>
      <c r="AG499" s="59" t="str">
        <f>IF(X499&lt;&gt;"",Y499,IF(L499&lt;&gt;"",M499,""))</f>
        <v/>
      </c>
      <c r="AH499" s="59" t="str">
        <f>IF(L499="","",IF(X499&lt;&gt;"",U499,F499))</f>
        <v/>
      </c>
      <c r="AI499" s="59" t="str">
        <f>IF(L499="","",IF(X499&lt;&gt;"",V499,H499))</f>
        <v/>
      </c>
    </row>
    <row r="500" ht="30" customHeight="1">
      <c r="A500" s="50" t="n"/>
      <c r="B500" s="51" t="n"/>
      <c r="C500" s="51" t="n"/>
      <c r="D500" s="51" t="n"/>
      <c r="E500" s="51" t="n"/>
      <c r="F500" s="52" t="n"/>
      <c r="G500" s="51" t="n"/>
      <c r="H500" s="52" t="n"/>
      <c r="I500" s="51" t="n"/>
      <c r="J500" s="51" t="n"/>
      <c r="K500" s="52" t="n"/>
      <c r="L500" s="53" t="str">
        <f>IF(AND(IF(ISNUMBER(F500),AND(F500&gt;=1,F500&lt;=10,F500=INT(F500)),FALSE),IF(ISNUMBER(H500),AND(H500&gt;=1,H500&lt;=10,H500=INT(H500)),FALSE),IF(ISNUMBER(K500),AND(K500&gt;=1,K500&lt;=10,K500=INT(K500)),FALSE)),F500*H500*K500,"")</f>
        <v/>
      </c>
      <c r="M500" s="54" t="str">
        <f>IF(L500="",IF(D500="","","À coter"),IF(OR(F500&gt;=p_gmin,L500&gt;=p_ipr_crit),"Critique",IF(L500&gt;=p_ipr_act,"Élevée",IF(L500&gt;=p_ipr_watch,"Moyenne","Faible"))))</f>
        <v/>
      </c>
      <c r="N500" s="54" t="str">
        <f>IF(OR(M500="",M500="À coter"),"",IF(OR(M500="Critique",M500="Élevée"),"Oui","Non"))</f>
        <v/>
      </c>
      <c r="O500" s="51" t="n"/>
      <c r="P500" s="51" t="n"/>
      <c r="Q500" s="55" t="n"/>
      <c r="R500" s="50" t="n"/>
      <c r="S500" s="55" t="n"/>
      <c r="T500" s="56" t="n"/>
      <c r="U500" s="52" t="n"/>
      <c r="V500" s="52" t="n"/>
      <c r="W500" s="52" t="n"/>
      <c r="X500" s="53" t="str">
        <f>IF(AND(L500&lt;&gt;"",IF(ISNUMBER(U500),AND(U500&gt;=1,U500&lt;=10,U500=INT(U500)),FALSE),IF(ISNUMBER(V500),AND(V500&gt;=1,V500&lt;=10,V500=INT(V500)),FALSE),IF(ISNUMBER(W500),AND(W500&gt;=1,W500&lt;=10,W500=INT(W500)),FALSE)),U500*V500*W500,"")</f>
        <v/>
      </c>
      <c r="Y500" s="54" t="str">
        <f>IF(X500="","",IF(OR(U500&gt;=p_gmin,X500&gt;=p_ipr_crit),"Critique",IF(X500&gt;=p_ipr_act,"Élevée",IF(X500&gt;=p_ipr_watch,"Moyenne","Faible"))))</f>
        <v/>
      </c>
      <c r="Z500" s="57" t="str">
        <f>IF(X500="","",(L500-X500)/L500)</f>
        <v/>
      </c>
      <c r="AA500" s="54" t="str">
        <f>IF(AND(D500="",O500=""),"",IF(O500="",IF(N500="Oui","Action à définir",IF(N500="Non","Sans action","")),IF(R500="Annulée","Annulée",IF(R500="Réalisée",IF(X500="","À réévaluer","Réalisée"),IF(N(Q500)=0,"Échéance manquante",IF(Q500&lt;p_today,"En retard",IF(Q500-p_today&lt;=p_alert,"Échéance proche","Dans les délais")))))))</f>
        <v/>
      </c>
      <c r="AB500" s="58" t="str">
        <f>IF(AND(A500="",B500="",D500="",F500="",H500="",K500="",O500=""),"",IF(D500="","Mode de défaillance manquant",IF(AND(A500&lt;&gt;"",COUNTIF(am_num,A500)&gt;1),"N° en double",IF(F500="","Gravité G manquante",IF(NOT(IF(ISNUMBER(F500),AND(F500&gt;=1,F500&lt;=10,F500=INT(F500)),FALSE)),"G : entier de 1 à 10",IF(H500="","Occurrence O manquante",IF(NOT(IF(ISNUMBER(H500),AND(H500&gt;=1,H500&lt;=10,H500=INT(H500)),FALSE)),"O : entier de 1 à 10",IF(K500="","Détection D manquante",IF(NOT(IF(ISNUMBER(K500),AND(K500&gt;=1,K500&lt;=10,K500=INT(K500)),FALSE)),"D : entier de 1 à 10",IF(G500="","Cause manquante",IF(AND(O500&lt;&gt;"",P500=""),"Responsable manquant",IF(AND(R500&lt;&gt;"",O500=""),"Statut sans action",IF(AND(R500="Réalisée",N(S500)=0),"Date de réalisation manquante",IF(AND(T500&lt;&gt;"",IF(ISNUMBER(T500),T500&lt;0,TRUE)),"Coût invalide",IF(AND(COUNTBLANK(U500:W500)&gt;0,COUNTBLANK(U500:W500)&lt;3),"Cotation après action incomplète",IF(AND(COUNTBLANK(U500:W500)=0,X500=""),"G', O', D' : entiers de 1 à 10",IF(AND(X500&lt;&gt;"",X500&gt;L500),"IPR après action plus élevé","OK")))))))))))))))))</f>
        <v/>
      </c>
      <c r="AC500" s="59" t="str">
        <f>IF(OR(AA500="En retard",AA500="Échéance proche",AA500="Dans les délais",AA500="Échéance manquante",AA500="Action à définir",AA500="À réévaluer"),IF(OR(plan_who="",P500=plan_who),IF(N(Q500)&gt;0,Q500,99999)*1000+ROW(),""),"")</f>
        <v/>
      </c>
      <c r="AD500" s="59" t="str">
        <f>IF(L500="","",L500*1000+1000-ROW())</f>
        <v/>
      </c>
      <c r="AE500" s="59" t="str">
        <f>IF(IF(AA500="En retard",1,IF(AA500="Action à définir",2,IF(AA500="Échéance manquante",3,IF(AA500="Échéance proche",4,IF(AA500="À réévaluer",5,0)))))=0,"",IF(AA500="En retard",1,IF(AA500="Action à définir",2,IF(AA500="Échéance manquante",3,IF(AA500="Échéance proche",4,IF(AA500="À réévaluer",5,0)))))*100000000+IF(N(Q500)&gt;0,Q500,99999)*1000+ROW())</f>
        <v/>
      </c>
      <c r="AF500" s="59" t="str">
        <f>IF(X500&lt;&gt;"",X500,L500)</f>
        <v/>
      </c>
      <c r="AG500" s="59" t="str">
        <f>IF(X500&lt;&gt;"",Y500,IF(L500&lt;&gt;"",M500,""))</f>
        <v/>
      </c>
      <c r="AH500" s="59" t="str">
        <f>IF(L500="","",IF(X500&lt;&gt;"",U500,F500))</f>
        <v/>
      </c>
      <c r="AI500" s="59" t="str">
        <f>IF(L500="","",IF(X500&lt;&gt;"",V500,H500))</f>
        <v/>
      </c>
    </row>
    <row r="501" ht="30" customHeight="1">
      <c r="A501" s="50" t="n"/>
      <c r="B501" s="51" t="n"/>
      <c r="C501" s="51" t="n"/>
      <c r="D501" s="51" t="n"/>
      <c r="E501" s="51" t="n"/>
      <c r="F501" s="52" t="n"/>
      <c r="G501" s="51" t="n"/>
      <c r="H501" s="52" t="n"/>
      <c r="I501" s="51" t="n"/>
      <c r="J501" s="51" t="n"/>
      <c r="K501" s="52" t="n"/>
      <c r="L501" s="53" t="str">
        <f>IF(AND(IF(ISNUMBER(F501),AND(F501&gt;=1,F501&lt;=10,F501=INT(F501)),FALSE),IF(ISNUMBER(H501),AND(H501&gt;=1,H501&lt;=10,H501=INT(H501)),FALSE),IF(ISNUMBER(K501),AND(K501&gt;=1,K501&lt;=10,K501=INT(K501)),FALSE)),F501*H501*K501,"")</f>
        <v/>
      </c>
      <c r="M501" s="54" t="str">
        <f>IF(L501="",IF(D501="","","À coter"),IF(OR(F501&gt;=p_gmin,L501&gt;=p_ipr_crit),"Critique",IF(L501&gt;=p_ipr_act,"Élevée",IF(L501&gt;=p_ipr_watch,"Moyenne","Faible"))))</f>
        <v/>
      </c>
      <c r="N501" s="54" t="str">
        <f>IF(OR(M501="",M501="À coter"),"",IF(OR(M501="Critique",M501="Élevée"),"Oui","Non"))</f>
        <v/>
      </c>
      <c r="O501" s="51" t="n"/>
      <c r="P501" s="51" t="n"/>
      <c r="Q501" s="55" t="n"/>
      <c r="R501" s="50" t="n"/>
      <c r="S501" s="55" t="n"/>
      <c r="T501" s="56" t="n"/>
      <c r="U501" s="52" t="n"/>
      <c r="V501" s="52" t="n"/>
      <c r="W501" s="52" t="n"/>
      <c r="X501" s="53" t="str">
        <f>IF(AND(L501&lt;&gt;"",IF(ISNUMBER(U501),AND(U501&gt;=1,U501&lt;=10,U501=INT(U501)),FALSE),IF(ISNUMBER(V501),AND(V501&gt;=1,V501&lt;=10,V501=INT(V501)),FALSE),IF(ISNUMBER(W501),AND(W501&gt;=1,W501&lt;=10,W501=INT(W501)),FALSE)),U501*V501*W501,"")</f>
        <v/>
      </c>
      <c r="Y501" s="54" t="str">
        <f>IF(X501="","",IF(OR(U501&gt;=p_gmin,X501&gt;=p_ipr_crit),"Critique",IF(X501&gt;=p_ipr_act,"Élevée",IF(X501&gt;=p_ipr_watch,"Moyenne","Faible"))))</f>
        <v/>
      </c>
      <c r="Z501" s="57" t="str">
        <f>IF(X501="","",(L501-X501)/L501)</f>
        <v/>
      </c>
      <c r="AA501" s="54" t="str">
        <f>IF(AND(D501="",O501=""),"",IF(O501="",IF(N501="Oui","Action à définir",IF(N501="Non","Sans action","")),IF(R501="Annulée","Annulée",IF(R501="Réalisée",IF(X501="","À réévaluer","Réalisée"),IF(N(Q501)=0,"Échéance manquante",IF(Q501&lt;p_today,"En retard",IF(Q501-p_today&lt;=p_alert,"Échéance proche","Dans les délais")))))))</f>
        <v/>
      </c>
      <c r="AB501" s="58" t="str">
        <f>IF(AND(A501="",B501="",D501="",F501="",H501="",K501="",O501=""),"",IF(D501="","Mode de défaillance manquant",IF(AND(A501&lt;&gt;"",COUNTIF(am_num,A501)&gt;1),"N° en double",IF(F501="","Gravité G manquante",IF(NOT(IF(ISNUMBER(F501),AND(F501&gt;=1,F501&lt;=10,F501=INT(F501)),FALSE)),"G : entier de 1 à 10",IF(H501="","Occurrence O manquante",IF(NOT(IF(ISNUMBER(H501),AND(H501&gt;=1,H501&lt;=10,H501=INT(H501)),FALSE)),"O : entier de 1 à 10",IF(K501="","Détection D manquante",IF(NOT(IF(ISNUMBER(K501),AND(K501&gt;=1,K501&lt;=10,K501=INT(K501)),FALSE)),"D : entier de 1 à 10",IF(G501="","Cause manquante",IF(AND(O501&lt;&gt;"",P501=""),"Responsable manquant",IF(AND(R501&lt;&gt;"",O501=""),"Statut sans action",IF(AND(R501="Réalisée",N(S501)=0),"Date de réalisation manquante",IF(AND(T501&lt;&gt;"",IF(ISNUMBER(T501),T501&lt;0,TRUE)),"Coût invalide",IF(AND(COUNTBLANK(U501:W501)&gt;0,COUNTBLANK(U501:W501)&lt;3),"Cotation après action incomplète",IF(AND(COUNTBLANK(U501:W501)=0,X501=""),"G', O', D' : entiers de 1 à 10",IF(AND(X501&lt;&gt;"",X501&gt;L501),"IPR après action plus élevé","OK")))))))))))))))))</f>
        <v/>
      </c>
      <c r="AC501" s="59" t="str">
        <f>IF(OR(AA501="En retard",AA501="Échéance proche",AA501="Dans les délais",AA501="Échéance manquante",AA501="Action à définir",AA501="À réévaluer"),IF(OR(plan_who="",P501=plan_who),IF(N(Q501)&gt;0,Q501,99999)*1000+ROW(),""),"")</f>
        <v/>
      </c>
      <c r="AD501" s="59" t="str">
        <f>IF(L501="","",L501*1000+1000-ROW())</f>
        <v/>
      </c>
      <c r="AE501" s="59" t="str">
        <f>IF(IF(AA501="En retard",1,IF(AA501="Action à définir",2,IF(AA501="Échéance manquante",3,IF(AA501="Échéance proche",4,IF(AA501="À réévaluer",5,0)))))=0,"",IF(AA501="En retard",1,IF(AA501="Action à définir",2,IF(AA501="Échéance manquante",3,IF(AA501="Échéance proche",4,IF(AA501="À réévaluer",5,0)))))*100000000+IF(N(Q501)&gt;0,Q501,99999)*1000+ROW())</f>
        <v/>
      </c>
      <c r="AF501" s="59" t="str">
        <f>IF(X501&lt;&gt;"",X501,L501)</f>
        <v/>
      </c>
      <c r="AG501" s="59" t="str">
        <f>IF(X501&lt;&gt;"",Y501,IF(L501&lt;&gt;"",M501,""))</f>
        <v/>
      </c>
      <c r="AH501" s="59" t="str">
        <f>IF(L501="","",IF(X501&lt;&gt;"",U501,F501))</f>
        <v/>
      </c>
      <c r="AI501" s="59" t="str">
        <f>IF(L501="","",IF(X501&lt;&gt;"",V501,H501))</f>
        <v/>
      </c>
    </row>
    <row r="502" ht="30" customHeight="1">
      <c r="A502" s="50" t="n"/>
      <c r="B502" s="51" t="n"/>
      <c r="C502" s="51" t="n"/>
      <c r="D502" s="51" t="n"/>
      <c r="E502" s="51" t="n"/>
      <c r="F502" s="52" t="n"/>
      <c r="G502" s="51" t="n"/>
      <c r="H502" s="52" t="n"/>
      <c r="I502" s="51" t="n"/>
      <c r="J502" s="51" t="n"/>
      <c r="K502" s="52" t="n"/>
      <c r="L502" s="53" t="str">
        <f>IF(AND(IF(ISNUMBER(F502),AND(F502&gt;=1,F502&lt;=10,F502=INT(F502)),FALSE),IF(ISNUMBER(H502),AND(H502&gt;=1,H502&lt;=10,H502=INT(H502)),FALSE),IF(ISNUMBER(K502),AND(K502&gt;=1,K502&lt;=10,K502=INT(K502)),FALSE)),F502*H502*K502,"")</f>
        <v/>
      </c>
      <c r="M502" s="54" t="str">
        <f>IF(L502="",IF(D502="","","À coter"),IF(OR(F502&gt;=p_gmin,L502&gt;=p_ipr_crit),"Critique",IF(L502&gt;=p_ipr_act,"Élevée",IF(L502&gt;=p_ipr_watch,"Moyenne","Faible"))))</f>
        <v/>
      </c>
      <c r="N502" s="54" t="str">
        <f>IF(OR(M502="",M502="À coter"),"",IF(OR(M502="Critique",M502="Élevée"),"Oui","Non"))</f>
        <v/>
      </c>
      <c r="O502" s="51" t="n"/>
      <c r="P502" s="51" t="n"/>
      <c r="Q502" s="55" t="n"/>
      <c r="R502" s="50" t="n"/>
      <c r="S502" s="55" t="n"/>
      <c r="T502" s="56" t="n"/>
      <c r="U502" s="52" t="n"/>
      <c r="V502" s="52" t="n"/>
      <c r="W502" s="52" t="n"/>
      <c r="X502" s="53" t="str">
        <f>IF(AND(L502&lt;&gt;"",IF(ISNUMBER(U502),AND(U502&gt;=1,U502&lt;=10,U502=INT(U502)),FALSE),IF(ISNUMBER(V502),AND(V502&gt;=1,V502&lt;=10,V502=INT(V502)),FALSE),IF(ISNUMBER(W502),AND(W502&gt;=1,W502&lt;=10,W502=INT(W502)),FALSE)),U502*V502*W502,"")</f>
        <v/>
      </c>
      <c r="Y502" s="54" t="str">
        <f>IF(X502="","",IF(OR(U502&gt;=p_gmin,X502&gt;=p_ipr_crit),"Critique",IF(X502&gt;=p_ipr_act,"Élevée",IF(X502&gt;=p_ipr_watch,"Moyenne","Faible"))))</f>
        <v/>
      </c>
      <c r="Z502" s="57" t="str">
        <f>IF(X502="","",(L502-X502)/L502)</f>
        <v/>
      </c>
      <c r="AA502" s="54" t="str">
        <f>IF(AND(D502="",O502=""),"",IF(O502="",IF(N502="Oui","Action à définir",IF(N502="Non","Sans action","")),IF(R502="Annulée","Annulée",IF(R502="Réalisée",IF(X502="","À réévaluer","Réalisée"),IF(N(Q502)=0,"Échéance manquante",IF(Q502&lt;p_today,"En retard",IF(Q502-p_today&lt;=p_alert,"Échéance proche","Dans les délais")))))))</f>
        <v/>
      </c>
      <c r="AB502" s="58" t="str">
        <f>IF(AND(A502="",B502="",D502="",F502="",H502="",K502="",O502=""),"",IF(D502="","Mode de défaillance manquant",IF(AND(A502&lt;&gt;"",COUNTIF(am_num,A502)&gt;1),"N° en double",IF(F502="","Gravité G manquante",IF(NOT(IF(ISNUMBER(F502),AND(F502&gt;=1,F502&lt;=10,F502=INT(F502)),FALSE)),"G : entier de 1 à 10",IF(H502="","Occurrence O manquante",IF(NOT(IF(ISNUMBER(H502),AND(H502&gt;=1,H502&lt;=10,H502=INT(H502)),FALSE)),"O : entier de 1 à 10",IF(K502="","Détection D manquante",IF(NOT(IF(ISNUMBER(K502),AND(K502&gt;=1,K502&lt;=10,K502=INT(K502)),FALSE)),"D : entier de 1 à 10",IF(G502="","Cause manquante",IF(AND(O502&lt;&gt;"",P502=""),"Responsable manquant",IF(AND(R502&lt;&gt;"",O502=""),"Statut sans action",IF(AND(R502="Réalisée",N(S502)=0),"Date de réalisation manquante",IF(AND(T502&lt;&gt;"",IF(ISNUMBER(T502),T502&lt;0,TRUE)),"Coût invalide",IF(AND(COUNTBLANK(U502:W502)&gt;0,COUNTBLANK(U502:W502)&lt;3),"Cotation après action incomplète",IF(AND(COUNTBLANK(U502:W502)=0,X502=""),"G', O', D' : entiers de 1 à 10",IF(AND(X502&lt;&gt;"",X502&gt;L502),"IPR après action plus élevé","OK")))))))))))))))))</f>
        <v/>
      </c>
      <c r="AC502" s="59" t="str">
        <f>IF(OR(AA502="En retard",AA502="Échéance proche",AA502="Dans les délais",AA502="Échéance manquante",AA502="Action à définir",AA502="À réévaluer"),IF(OR(plan_who="",P502=plan_who),IF(N(Q502)&gt;0,Q502,99999)*1000+ROW(),""),"")</f>
        <v/>
      </c>
      <c r="AD502" s="59" t="str">
        <f>IF(L502="","",L502*1000+1000-ROW())</f>
        <v/>
      </c>
      <c r="AE502" s="59" t="str">
        <f>IF(IF(AA502="En retard",1,IF(AA502="Action à définir",2,IF(AA502="Échéance manquante",3,IF(AA502="Échéance proche",4,IF(AA502="À réévaluer",5,0)))))=0,"",IF(AA502="En retard",1,IF(AA502="Action à définir",2,IF(AA502="Échéance manquante",3,IF(AA502="Échéance proche",4,IF(AA502="À réévaluer",5,0)))))*100000000+IF(N(Q502)&gt;0,Q502,99999)*1000+ROW())</f>
        <v/>
      </c>
      <c r="AF502" s="59" t="str">
        <f>IF(X502&lt;&gt;"",X502,L502)</f>
        <v/>
      </c>
      <c r="AG502" s="59" t="str">
        <f>IF(X502&lt;&gt;"",Y502,IF(L502&lt;&gt;"",M502,""))</f>
        <v/>
      </c>
      <c r="AH502" s="59" t="str">
        <f>IF(L502="","",IF(X502&lt;&gt;"",U502,F502))</f>
        <v/>
      </c>
      <c r="AI502" s="59" t="str">
        <f>IF(L502="","",IF(X502&lt;&gt;"",V502,H502))</f>
        <v/>
      </c>
    </row>
    <row r="503" ht="30" customHeight="1">
      <c r="A503" s="50" t="n"/>
      <c r="B503" s="51" t="n"/>
      <c r="C503" s="51" t="n"/>
      <c r="D503" s="51" t="n"/>
      <c r="E503" s="51" t="n"/>
      <c r="F503" s="52" t="n"/>
      <c r="G503" s="51" t="n"/>
      <c r="H503" s="52" t="n"/>
      <c r="I503" s="51" t="n"/>
      <c r="J503" s="51" t="n"/>
      <c r="K503" s="52" t="n"/>
      <c r="L503" s="53" t="str">
        <f>IF(AND(IF(ISNUMBER(F503),AND(F503&gt;=1,F503&lt;=10,F503=INT(F503)),FALSE),IF(ISNUMBER(H503),AND(H503&gt;=1,H503&lt;=10,H503=INT(H503)),FALSE),IF(ISNUMBER(K503),AND(K503&gt;=1,K503&lt;=10,K503=INT(K503)),FALSE)),F503*H503*K503,"")</f>
        <v/>
      </c>
      <c r="M503" s="54" t="str">
        <f>IF(L503="",IF(D503="","","À coter"),IF(OR(F503&gt;=p_gmin,L503&gt;=p_ipr_crit),"Critique",IF(L503&gt;=p_ipr_act,"Élevée",IF(L503&gt;=p_ipr_watch,"Moyenne","Faible"))))</f>
        <v/>
      </c>
      <c r="N503" s="54" t="str">
        <f>IF(OR(M503="",M503="À coter"),"",IF(OR(M503="Critique",M503="Élevée"),"Oui","Non"))</f>
        <v/>
      </c>
      <c r="O503" s="51" t="n"/>
      <c r="P503" s="51" t="n"/>
      <c r="Q503" s="55" t="n"/>
      <c r="R503" s="50" t="n"/>
      <c r="S503" s="55" t="n"/>
      <c r="T503" s="56" t="n"/>
      <c r="U503" s="52" t="n"/>
      <c r="V503" s="52" t="n"/>
      <c r="W503" s="52" t="n"/>
      <c r="X503" s="53" t="str">
        <f>IF(AND(L503&lt;&gt;"",IF(ISNUMBER(U503),AND(U503&gt;=1,U503&lt;=10,U503=INT(U503)),FALSE),IF(ISNUMBER(V503),AND(V503&gt;=1,V503&lt;=10,V503=INT(V503)),FALSE),IF(ISNUMBER(W503),AND(W503&gt;=1,W503&lt;=10,W503=INT(W503)),FALSE)),U503*V503*W503,"")</f>
        <v/>
      </c>
      <c r="Y503" s="54" t="str">
        <f>IF(X503="","",IF(OR(U503&gt;=p_gmin,X503&gt;=p_ipr_crit),"Critique",IF(X503&gt;=p_ipr_act,"Élevée",IF(X503&gt;=p_ipr_watch,"Moyenne","Faible"))))</f>
        <v/>
      </c>
      <c r="Z503" s="57" t="str">
        <f>IF(X503="","",(L503-X503)/L503)</f>
        <v/>
      </c>
      <c r="AA503" s="54" t="str">
        <f>IF(AND(D503="",O503=""),"",IF(O503="",IF(N503="Oui","Action à définir",IF(N503="Non","Sans action","")),IF(R503="Annulée","Annulée",IF(R503="Réalisée",IF(X503="","À réévaluer","Réalisée"),IF(N(Q503)=0,"Échéance manquante",IF(Q503&lt;p_today,"En retard",IF(Q503-p_today&lt;=p_alert,"Échéance proche","Dans les délais")))))))</f>
        <v/>
      </c>
      <c r="AB503" s="58" t="str">
        <f>IF(AND(A503="",B503="",D503="",F503="",H503="",K503="",O503=""),"",IF(D503="","Mode de défaillance manquant",IF(AND(A503&lt;&gt;"",COUNTIF(am_num,A503)&gt;1),"N° en double",IF(F503="","Gravité G manquante",IF(NOT(IF(ISNUMBER(F503),AND(F503&gt;=1,F503&lt;=10,F503=INT(F503)),FALSE)),"G : entier de 1 à 10",IF(H503="","Occurrence O manquante",IF(NOT(IF(ISNUMBER(H503),AND(H503&gt;=1,H503&lt;=10,H503=INT(H503)),FALSE)),"O : entier de 1 à 10",IF(K503="","Détection D manquante",IF(NOT(IF(ISNUMBER(K503),AND(K503&gt;=1,K503&lt;=10,K503=INT(K503)),FALSE)),"D : entier de 1 à 10",IF(G503="","Cause manquante",IF(AND(O503&lt;&gt;"",P503=""),"Responsable manquant",IF(AND(R503&lt;&gt;"",O503=""),"Statut sans action",IF(AND(R503="Réalisée",N(S503)=0),"Date de réalisation manquante",IF(AND(T503&lt;&gt;"",IF(ISNUMBER(T503),T503&lt;0,TRUE)),"Coût invalide",IF(AND(COUNTBLANK(U503:W503)&gt;0,COUNTBLANK(U503:W503)&lt;3),"Cotation après action incomplète",IF(AND(COUNTBLANK(U503:W503)=0,X503=""),"G', O', D' : entiers de 1 à 10",IF(AND(X503&lt;&gt;"",X503&gt;L503),"IPR après action plus élevé","OK")))))))))))))))))</f>
        <v/>
      </c>
      <c r="AC503" s="59" t="str">
        <f>IF(OR(AA503="En retard",AA503="Échéance proche",AA503="Dans les délais",AA503="Échéance manquante",AA503="Action à définir",AA503="À réévaluer"),IF(OR(plan_who="",P503=plan_who),IF(N(Q503)&gt;0,Q503,99999)*1000+ROW(),""),"")</f>
        <v/>
      </c>
      <c r="AD503" s="59" t="str">
        <f>IF(L503="","",L503*1000+1000-ROW())</f>
        <v/>
      </c>
      <c r="AE503" s="59" t="str">
        <f>IF(IF(AA503="En retard",1,IF(AA503="Action à définir",2,IF(AA503="Échéance manquante",3,IF(AA503="Échéance proche",4,IF(AA503="À réévaluer",5,0)))))=0,"",IF(AA503="En retard",1,IF(AA503="Action à définir",2,IF(AA503="Échéance manquante",3,IF(AA503="Échéance proche",4,IF(AA503="À réévaluer",5,0)))))*100000000+IF(N(Q503)&gt;0,Q503,99999)*1000+ROW())</f>
        <v/>
      </c>
      <c r="AF503" s="59" t="str">
        <f>IF(X503&lt;&gt;"",X503,L503)</f>
        <v/>
      </c>
      <c r="AG503" s="59" t="str">
        <f>IF(X503&lt;&gt;"",Y503,IF(L503&lt;&gt;"",M503,""))</f>
        <v/>
      </c>
      <c r="AH503" s="59" t="str">
        <f>IF(L503="","",IF(X503&lt;&gt;"",U503,F503))</f>
        <v/>
      </c>
      <c r="AI503" s="59" t="str">
        <f>IF(L503="","",IF(X503&lt;&gt;"",V503,H503))</f>
        <v/>
      </c>
    </row>
    <row r="504" ht="30" customHeight="1">
      <c r="A504" s="50" t="n"/>
      <c r="B504" s="51" t="n"/>
      <c r="C504" s="51" t="n"/>
      <c r="D504" s="51" t="n"/>
      <c r="E504" s="51" t="n"/>
      <c r="F504" s="52" t="n"/>
      <c r="G504" s="51" t="n"/>
      <c r="H504" s="52" t="n"/>
      <c r="I504" s="51" t="n"/>
      <c r="J504" s="51" t="n"/>
      <c r="K504" s="52" t="n"/>
      <c r="L504" s="53" t="str">
        <f>IF(AND(IF(ISNUMBER(F504),AND(F504&gt;=1,F504&lt;=10,F504=INT(F504)),FALSE),IF(ISNUMBER(H504),AND(H504&gt;=1,H504&lt;=10,H504=INT(H504)),FALSE),IF(ISNUMBER(K504),AND(K504&gt;=1,K504&lt;=10,K504=INT(K504)),FALSE)),F504*H504*K504,"")</f>
        <v/>
      </c>
      <c r="M504" s="54" t="str">
        <f>IF(L504="",IF(D504="","","À coter"),IF(OR(F504&gt;=p_gmin,L504&gt;=p_ipr_crit),"Critique",IF(L504&gt;=p_ipr_act,"Élevée",IF(L504&gt;=p_ipr_watch,"Moyenne","Faible"))))</f>
        <v/>
      </c>
      <c r="N504" s="54" t="str">
        <f>IF(OR(M504="",M504="À coter"),"",IF(OR(M504="Critique",M504="Élevée"),"Oui","Non"))</f>
        <v/>
      </c>
      <c r="O504" s="51" t="n"/>
      <c r="P504" s="51" t="n"/>
      <c r="Q504" s="55" t="n"/>
      <c r="R504" s="50" t="n"/>
      <c r="S504" s="55" t="n"/>
      <c r="T504" s="56" t="n"/>
      <c r="U504" s="52" t="n"/>
      <c r="V504" s="52" t="n"/>
      <c r="W504" s="52" t="n"/>
      <c r="X504" s="53" t="str">
        <f>IF(AND(L504&lt;&gt;"",IF(ISNUMBER(U504),AND(U504&gt;=1,U504&lt;=10,U504=INT(U504)),FALSE),IF(ISNUMBER(V504),AND(V504&gt;=1,V504&lt;=10,V504=INT(V504)),FALSE),IF(ISNUMBER(W504),AND(W504&gt;=1,W504&lt;=10,W504=INT(W504)),FALSE)),U504*V504*W504,"")</f>
        <v/>
      </c>
      <c r="Y504" s="54" t="str">
        <f>IF(X504="","",IF(OR(U504&gt;=p_gmin,X504&gt;=p_ipr_crit),"Critique",IF(X504&gt;=p_ipr_act,"Élevée",IF(X504&gt;=p_ipr_watch,"Moyenne","Faible"))))</f>
        <v/>
      </c>
      <c r="Z504" s="57" t="str">
        <f>IF(X504="","",(L504-X504)/L504)</f>
        <v/>
      </c>
      <c r="AA504" s="54" t="str">
        <f>IF(AND(D504="",O504=""),"",IF(O504="",IF(N504="Oui","Action à définir",IF(N504="Non","Sans action","")),IF(R504="Annulée","Annulée",IF(R504="Réalisée",IF(X504="","À réévaluer","Réalisée"),IF(N(Q504)=0,"Échéance manquante",IF(Q504&lt;p_today,"En retard",IF(Q504-p_today&lt;=p_alert,"Échéance proche","Dans les délais")))))))</f>
        <v/>
      </c>
      <c r="AB504" s="58" t="str">
        <f>IF(AND(A504="",B504="",D504="",F504="",H504="",K504="",O504=""),"",IF(D504="","Mode de défaillance manquant",IF(AND(A504&lt;&gt;"",COUNTIF(am_num,A504)&gt;1),"N° en double",IF(F504="","Gravité G manquante",IF(NOT(IF(ISNUMBER(F504),AND(F504&gt;=1,F504&lt;=10,F504=INT(F504)),FALSE)),"G : entier de 1 à 10",IF(H504="","Occurrence O manquante",IF(NOT(IF(ISNUMBER(H504),AND(H504&gt;=1,H504&lt;=10,H504=INT(H504)),FALSE)),"O : entier de 1 à 10",IF(K504="","Détection D manquante",IF(NOT(IF(ISNUMBER(K504),AND(K504&gt;=1,K504&lt;=10,K504=INT(K504)),FALSE)),"D : entier de 1 à 10",IF(G504="","Cause manquante",IF(AND(O504&lt;&gt;"",P504=""),"Responsable manquant",IF(AND(R504&lt;&gt;"",O504=""),"Statut sans action",IF(AND(R504="Réalisée",N(S504)=0),"Date de réalisation manquante",IF(AND(T504&lt;&gt;"",IF(ISNUMBER(T504),T504&lt;0,TRUE)),"Coût invalide",IF(AND(COUNTBLANK(U504:W504)&gt;0,COUNTBLANK(U504:W504)&lt;3),"Cotation après action incomplète",IF(AND(COUNTBLANK(U504:W504)=0,X504=""),"G', O', D' : entiers de 1 à 10",IF(AND(X504&lt;&gt;"",X504&gt;L504),"IPR après action plus élevé","OK")))))))))))))))))</f>
        <v/>
      </c>
      <c r="AC504" s="59" t="str">
        <f>IF(OR(AA504="En retard",AA504="Échéance proche",AA504="Dans les délais",AA504="Échéance manquante",AA504="Action à définir",AA504="À réévaluer"),IF(OR(plan_who="",P504=plan_who),IF(N(Q504)&gt;0,Q504,99999)*1000+ROW(),""),"")</f>
        <v/>
      </c>
      <c r="AD504" s="59" t="str">
        <f>IF(L504="","",L504*1000+1000-ROW())</f>
        <v/>
      </c>
      <c r="AE504" s="59" t="str">
        <f>IF(IF(AA504="En retard",1,IF(AA504="Action à définir",2,IF(AA504="Échéance manquante",3,IF(AA504="Échéance proche",4,IF(AA504="À réévaluer",5,0)))))=0,"",IF(AA504="En retard",1,IF(AA504="Action à définir",2,IF(AA504="Échéance manquante",3,IF(AA504="Échéance proche",4,IF(AA504="À réévaluer",5,0)))))*100000000+IF(N(Q504)&gt;0,Q504,99999)*1000+ROW())</f>
        <v/>
      </c>
      <c r="AF504" s="59" t="str">
        <f>IF(X504&lt;&gt;"",X504,L504)</f>
        <v/>
      </c>
      <c r="AG504" s="59" t="str">
        <f>IF(X504&lt;&gt;"",Y504,IF(L504&lt;&gt;"",M504,""))</f>
        <v/>
      </c>
      <c r="AH504" s="59" t="str">
        <f>IF(L504="","",IF(X504&lt;&gt;"",U504,F504))</f>
        <v/>
      </c>
      <c r="AI504" s="59" t="str">
        <f>IF(L504="","",IF(X504&lt;&gt;"",V504,H504))</f>
        <v/>
      </c>
    </row>
    <row r="505" ht="30" customHeight="1">
      <c r="A505" s="50" t="n"/>
      <c r="B505" s="51" t="n"/>
      <c r="C505" s="51" t="n"/>
      <c r="D505" s="51" t="n"/>
      <c r="E505" s="51" t="n"/>
      <c r="F505" s="52" t="n"/>
      <c r="G505" s="51" t="n"/>
      <c r="H505" s="52" t="n"/>
      <c r="I505" s="51" t="n"/>
      <c r="J505" s="51" t="n"/>
      <c r="K505" s="52" t="n"/>
      <c r="L505" s="53" t="str">
        <f>IF(AND(IF(ISNUMBER(F505),AND(F505&gt;=1,F505&lt;=10,F505=INT(F505)),FALSE),IF(ISNUMBER(H505),AND(H505&gt;=1,H505&lt;=10,H505=INT(H505)),FALSE),IF(ISNUMBER(K505),AND(K505&gt;=1,K505&lt;=10,K505=INT(K505)),FALSE)),F505*H505*K505,"")</f>
        <v/>
      </c>
      <c r="M505" s="54" t="str">
        <f>IF(L505="",IF(D505="","","À coter"),IF(OR(F505&gt;=p_gmin,L505&gt;=p_ipr_crit),"Critique",IF(L505&gt;=p_ipr_act,"Élevée",IF(L505&gt;=p_ipr_watch,"Moyenne","Faible"))))</f>
        <v/>
      </c>
      <c r="N505" s="54" t="str">
        <f>IF(OR(M505="",M505="À coter"),"",IF(OR(M505="Critique",M505="Élevée"),"Oui","Non"))</f>
        <v/>
      </c>
      <c r="O505" s="51" t="n"/>
      <c r="P505" s="51" t="n"/>
      <c r="Q505" s="55" t="n"/>
      <c r="R505" s="50" t="n"/>
      <c r="S505" s="55" t="n"/>
      <c r="T505" s="56" t="n"/>
      <c r="U505" s="52" t="n"/>
      <c r="V505" s="52" t="n"/>
      <c r="W505" s="52" t="n"/>
      <c r="X505" s="53" t="str">
        <f>IF(AND(L505&lt;&gt;"",IF(ISNUMBER(U505),AND(U505&gt;=1,U505&lt;=10,U505=INT(U505)),FALSE),IF(ISNUMBER(V505),AND(V505&gt;=1,V505&lt;=10,V505=INT(V505)),FALSE),IF(ISNUMBER(W505),AND(W505&gt;=1,W505&lt;=10,W505=INT(W505)),FALSE)),U505*V505*W505,"")</f>
        <v/>
      </c>
      <c r="Y505" s="54" t="str">
        <f>IF(X505="","",IF(OR(U505&gt;=p_gmin,X505&gt;=p_ipr_crit),"Critique",IF(X505&gt;=p_ipr_act,"Élevée",IF(X505&gt;=p_ipr_watch,"Moyenne","Faible"))))</f>
        <v/>
      </c>
      <c r="Z505" s="57" t="str">
        <f>IF(X505="","",(L505-X505)/L505)</f>
        <v/>
      </c>
      <c r="AA505" s="54" t="str">
        <f>IF(AND(D505="",O505=""),"",IF(O505="",IF(N505="Oui","Action à définir",IF(N505="Non","Sans action","")),IF(R505="Annulée","Annulée",IF(R505="Réalisée",IF(X505="","À réévaluer","Réalisée"),IF(N(Q505)=0,"Échéance manquante",IF(Q505&lt;p_today,"En retard",IF(Q505-p_today&lt;=p_alert,"Échéance proche","Dans les délais")))))))</f>
        <v/>
      </c>
      <c r="AB505" s="58" t="str">
        <f>IF(AND(A505="",B505="",D505="",F505="",H505="",K505="",O505=""),"",IF(D505="","Mode de défaillance manquant",IF(AND(A505&lt;&gt;"",COUNTIF(am_num,A505)&gt;1),"N° en double",IF(F505="","Gravité G manquante",IF(NOT(IF(ISNUMBER(F505),AND(F505&gt;=1,F505&lt;=10,F505=INT(F505)),FALSE)),"G : entier de 1 à 10",IF(H505="","Occurrence O manquante",IF(NOT(IF(ISNUMBER(H505),AND(H505&gt;=1,H505&lt;=10,H505=INT(H505)),FALSE)),"O : entier de 1 à 10",IF(K505="","Détection D manquante",IF(NOT(IF(ISNUMBER(K505),AND(K505&gt;=1,K505&lt;=10,K505=INT(K505)),FALSE)),"D : entier de 1 à 10",IF(G505="","Cause manquante",IF(AND(O505&lt;&gt;"",P505=""),"Responsable manquant",IF(AND(R505&lt;&gt;"",O505=""),"Statut sans action",IF(AND(R505="Réalisée",N(S505)=0),"Date de réalisation manquante",IF(AND(T505&lt;&gt;"",IF(ISNUMBER(T505),T505&lt;0,TRUE)),"Coût invalide",IF(AND(COUNTBLANK(U505:W505)&gt;0,COUNTBLANK(U505:W505)&lt;3),"Cotation après action incomplète",IF(AND(COUNTBLANK(U505:W505)=0,X505=""),"G', O', D' : entiers de 1 à 10",IF(AND(X505&lt;&gt;"",X505&gt;L505),"IPR après action plus élevé","OK")))))))))))))))))</f>
        <v/>
      </c>
      <c r="AC505" s="59" t="str">
        <f>IF(OR(AA505="En retard",AA505="Échéance proche",AA505="Dans les délais",AA505="Échéance manquante",AA505="Action à définir",AA505="À réévaluer"),IF(OR(plan_who="",P505=plan_who),IF(N(Q505)&gt;0,Q505,99999)*1000+ROW(),""),"")</f>
        <v/>
      </c>
      <c r="AD505" s="59" t="str">
        <f>IF(L505="","",L505*1000+1000-ROW())</f>
        <v/>
      </c>
      <c r="AE505" s="59" t="str">
        <f>IF(IF(AA505="En retard",1,IF(AA505="Action à définir",2,IF(AA505="Échéance manquante",3,IF(AA505="Échéance proche",4,IF(AA505="À réévaluer",5,0)))))=0,"",IF(AA505="En retard",1,IF(AA505="Action à définir",2,IF(AA505="Échéance manquante",3,IF(AA505="Échéance proche",4,IF(AA505="À réévaluer",5,0)))))*100000000+IF(N(Q505)&gt;0,Q505,99999)*1000+ROW())</f>
        <v/>
      </c>
      <c r="AF505" s="59" t="str">
        <f>IF(X505&lt;&gt;"",X505,L505)</f>
        <v/>
      </c>
      <c r="AG505" s="59" t="str">
        <f>IF(X505&lt;&gt;"",Y505,IF(L505&lt;&gt;"",M505,""))</f>
        <v/>
      </c>
      <c r="AH505" s="59" t="str">
        <f>IF(L505="","",IF(X505&lt;&gt;"",U505,F505))</f>
        <v/>
      </c>
      <c r="AI505" s="59" t="str">
        <f>IF(L505="","",IF(X505&lt;&gt;"",V505,H505))</f>
        <v/>
      </c>
    </row>
  </sheetData>
  <autoFilter ref="A5:AB505"/>
  <mergeCells count="6">
    <mergeCell ref="A4:E4"/>
    <mergeCell ref="O4:T4"/>
    <mergeCell ref="U4:Z4"/>
    <mergeCell ref="F4:K4"/>
    <mergeCell ref="L4:N4"/>
    <mergeCell ref="AA4:AB4"/>
  </mergeCells>
  <conditionalFormatting sqref="M6:M505">
    <cfRule type="expression" priority="1" dxfId="0">
      <formula>$M6="Critique"</formula>
    </cfRule>
    <cfRule type="expression" priority="2" dxfId="1">
      <formula>$M6="Élevée"</formula>
    </cfRule>
    <cfRule type="expression" priority="3" dxfId="2">
      <formula>$M6="Moyenne"</formula>
    </cfRule>
    <cfRule type="expression" priority="4" dxfId="3">
      <formula>$M6="Faible"</formula>
    </cfRule>
    <cfRule type="expression" priority="5" dxfId="4">
      <formula>$M6="À coter"</formula>
    </cfRule>
  </conditionalFormatting>
  <conditionalFormatting sqref="Y6:Y505">
    <cfRule type="expression" priority="6" dxfId="0">
      <formula>$Y6="Critique"</formula>
    </cfRule>
    <cfRule type="expression" priority="7" dxfId="1">
      <formula>$Y6="Élevée"</formula>
    </cfRule>
    <cfRule type="expression" priority="8" dxfId="2">
      <formula>$Y6="Moyenne"</formula>
    </cfRule>
    <cfRule type="expression" priority="9" dxfId="3">
      <formula>$Y6="Faible"</formula>
    </cfRule>
    <cfRule type="expression" priority="10" dxfId="4">
      <formula>$Y6="À coter"</formula>
    </cfRule>
  </conditionalFormatting>
  <conditionalFormatting sqref="N6:N505">
    <cfRule type="expression" priority="11" dxfId="0">
      <formula>$N6="Oui"</formula>
    </cfRule>
  </conditionalFormatting>
  <conditionalFormatting sqref="AA6:AA505">
    <cfRule type="expression" priority="12" dxfId="0">
      <formula>$AA6="En retard"</formula>
    </cfRule>
    <cfRule type="expression" priority="13" dxfId="1">
      <formula>$AA6="Action à définir"</formula>
    </cfRule>
    <cfRule type="expression" priority="14" dxfId="5">
      <formula>$AA6="Échéance manquante"</formula>
    </cfRule>
    <cfRule type="expression" priority="15" dxfId="6">
      <formula>$AA6="Échéance proche"</formula>
    </cfRule>
    <cfRule type="expression" priority="16" dxfId="3">
      <formula>$AA6="Dans les délais"</formula>
    </cfRule>
    <cfRule type="expression" priority="17" dxfId="7">
      <formula>$AA6="À réévaluer"</formula>
    </cfRule>
    <cfRule type="expression" priority="18" dxfId="8">
      <formula>$AA6="Réalisée"</formula>
    </cfRule>
    <cfRule type="expression" priority="19" dxfId="4">
      <formula>$AA6="Annulée"</formula>
    </cfRule>
    <cfRule type="expression" priority="20" dxfId="4">
      <formula>$AA6="Sans action"</formula>
    </cfRule>
  </conditionalFormatting>
  <conditionalFormatting sqref="AB6:AB505">
    <cfRule type="expression" priority="21" dxfId="3">
      <formula>$AB6="OK"</formula>
    </cfRule>
    <cfRule type="expression" priority="22" dxfId="0">
      <formula>AND($AB6&lt;&gt;"",$AB6&lt;&gt;"OK")</formula>
    </cfRule>
  </conditionalFormatting>
  <conditionalFormatting sqref="Z6:Z505">
    <cfRule type="expression" priority="23" dxfId="12">
      <formula>AND(ISNUMBER($Z6),$Z6&gt;0)</formula>
    </cfRule>
  </conditionalFormatting>
  <conditionalFormatting sqref="T6:T505">
    <cfRule type="expression" priority="24" dxfId="13">
      <formula>p_currency="MAD"</formula>
    </cfRule>
    <cfRule type="expression" priority="25" dxfId="14">
      <formula>p_currency="EUR"</formula>
    </cfRule>
    <cfRule type="expression" priority="26" dxfId="15">
      <formula>p_currency="USD"</formula>
    </cfRule>
  </conditionalFormatting>
  <dataValidations count="11">
    <dataValidation sqref="F6:F505" showDropDown="0" showInputMessage="1" showErrorMessage="1" allowBlank="1" errorTitle="Gravité G" error="Saisissez un nombre entier de 1 à 10. Les critères sont dans la feuille « Cotation »." promptTitle="Gravité G" prompt="Gravité de l'effet, de 1 à 10. 10 = danger sans alerte, 8 = produit inutilisable, 5 = fonction secondaire dégradée, 1 = aucun effet. Détail : feuille « Cotation »." type="list">
      <formula1>"1,2,3,4,5,6,7,8,9,10"</formula1>
    </dataValidation>
    <dataValidation sqref="H6:H505" showDropDown="0" showInputMessage="1" showErrorMessage="1" allowBlank="1" errorTitle="Occurrence O" error="Saisissez un nombre entier de 1 à 10. Les critères sont dans la feuille « Cotation »." promptTitle="Occurrence O" prompt="Probabilité de la cause, de 1 à 10. 10 = 1 pièce sur 10, 7 = 1 sur 100, 4 = 1 sur 10 000, 1 = cause éliminée. Détail : feuille « Cotation »." type="list">
      <formula1>"1,2,3,4,5,6,7,8,9,10"</formula1>
    </dataValidation>
    <dataValidation sqref="K6:K505" showDropDown="0" showInputMessage="1" showErrorMessage="1" allowBlank="1" errorTitle="Détection D" error="Saisissez un nombre entier de 1 à 10. Les critères sont dans la feuille « Cotation »." promptTitle="Détection D" prompt="Chance de détecter le défaut, de 1 à 10. 10 = aucun contrôle, 8 = visuel sur échantillon, 4 = gabarit sur chaque pièce, 1 = détrompeur. Détail : feuille « Cotation »." type="list">
      <formula1>"1,2,3,4,5,6,7,8,9,10"</formula1>
    </dataValidation>
    <dataValidation sqref="U6:U505" showDropDown="0" showInputMessage="1" showErrorMessage="1" allowBlank="1" errorTitle="Gravité après action" error="Saisissez un nombre entier de 1 à 10. Les critères sont dans la feuille « Cotation »." promptTitle="Gravité après action" prompt="Gravité après l'action réalisée. Elle ne baisse que si l'action change le produit ou le procédé (conception, détrompeur)." type="list">
      <formula1>"1,2,3,4,5,6,7,8,9,10"</formula1>
    </dataValidation>
    <dataValidation sqref="V6:V505" showDropDown="0" showInputMessage="1" showErrorMessage="1" allowBlank="1" errorTitle="Occurrence après action" error="Saisissez un nombre entier de 1 à 10. Les critères sont dans la feuille « Cotation »." promptTitle="Occurrence après action" prompt="Occurrence de la cause après l'action réalisée, de 1 à 10 (feuille « Cotation »)." type="list">
      <formula1>"1,2,3,4,5,6,7,8,9,10"</formula1>
    </dataValidation>
    <dataValidation sqref="W6:W505" showDropDown="0" showInputMessage="1" showErrorMessage="1" allowBlank="1" errorTitle="Détection après action" error="Saisissez un nombre entier de 1 à 10. Les critères sont dans la feuille « Cotation »." promptTitle="Détection après action" prompt="Détection après l'action réalisée, de 1 à 10 (feuille « Cotation »)." type="list">
      <formula1>"1,2,3,4,5,6,7,8,9,10"</formula1>
    </dataValidation>
    <dataValidation sqref="R6:R505" showDropDown="0" showInputMessage="1" showErrorMessage="1" allowBlank="1" errorTitle="Statut" error="À lancer, En cours, Réalisée ou Annulée." promptTitle="Statut" prompt="À lancer, En cours, Réalisée ou Annulée." type="list">
      <formula1>"À lancer,En cours,Réalisée,Annulée"</formula1>
    </dataValidation>
    <dataValidation sqref="P6:P505" showDropDown="0" showInputMessage="1" showErrorMessage="1" allowBlank="1" errorTitle="Responsable" error="Ce nom n'est pas dans la liste des Paramètres. Cliquez sur Oui pour le garder quand même." promptTitle="Responsable" prompt="Choisissez une personne dans la liste (feuille « Paramètres ») ou tapez un autre nom." type="list" errorStyle="warning">
      <formula1>=p_people</formula1>
    </dataValidation>
    <dataValidation sqref="Q6:Q505" showDropDown="0" showInputMessage="1" showErrorMessage="1" allowBlank="1" errorTitle="Échéance" error="Date à laquelle l'action doit être réalisée (jj/mm/aaaa)." promptTitle="Échéance" prompt="Date à laquelle l'action doit être réalisée (jj/mm/aaaa)." type="date" operator="between">
      <formula1>36526</formula1>
      <formula2>73051</formula2>
    </dataValidation>
    <dataValidation sqref="S6:S505" showDropDown="0" showInputMessage="1" showErrorMessage="1" allowBlank="1" errorTitle="Réalisée le" error="Date à laquelle l'action a été réalisée (jj/mm/aaaa)." promptTitle="Réalisée le" prompt="Date à laquelle l'action a été réalisée (jj/mm/aaaa)." type="date" operator="between">
      <formula1>36526</formula1>
      <formula2>73051</formula2>
    </dataValidation>
    <dataValidation sqref="T6:T505" showDropDown="0" showInputMessage="1" showErrorMessage="1" allowBlank="1" errorTitle="Coût de l'action" error="Coût estimé de l'action (achat, temps, outillage), hors taxes. 0 si aucun." promptTitle="Coût de l'action" prompt="Coût estimé de l'action (achat, temps, outillage), hors taxes. 0 si aucun." type="decimal" operator="greaterThanOrEqual">
      <formula1>0</formula1>
    </dataValidation>
  </dataValidations>
  <hyperlinks>
    <hyperlink ref="AB1" location="'Mode d''emploi'!A1"/>
  </hyperlinks>
  <printOptions horizontalCentered="1"/>
  <pageMargins left="0.4" right="0.4" top="0.5" bottom="0.5" header="0.5" footer="0.5"/>
  <pageSetup orientation="landscape" paperSize="8" fitToHeight="0" fitToWidth="1"/>
</worksheet>
</file>

<file path=xl/worksheets/sheet4.xml><?xml version="1.0" encoding="utf-8"?>
<worksheet xmlns="http://schemas.openxmlformats.org/spreadsheetml/2006/main">
  <sheetPr>
    <tabColor rgb="FFB91C1C"/>
    <outlinePr summaryBelow="1" summaryRight="1"/>
    <pageSetUpPr fitToPage="1"/>
  </sheetPr>
  <dimension ref="A1:N207"/>
  <sheetViews>
    <sheetView showGridLines="0" tabSelected="0" zoomScale="100" workbookViewId="0">
      <pane ySplit="6" topLeftCell="A7" activePane="bottomLeft" state="frozen"/>
      <selection pane="bottomLeft" activeCell="A1" sqref="A1"/>
    </sheetView>
  </sheetViews>
  <sheetFormatPr baseColWidth="8" defaultRowHeight="15"/>
  <cols>
    <col width="5" customWidth="1" min="1" max="1"/>
    <col width="9" customWidth="1" min="2" max="2"/>
    <col width="15" customWidth="1" min="3" max="3"/>
    <col width="26" customWidth="1" min="4" max="4"/>
    <col width="7" customWidth="1" min="5" max="5"/>
    <col width="10" customWidth="1" min="6" max="6"/>
    <col width="34" customWidth="1" min="7" max="7"/>
    <col width="20" customWidth="1" min="8" max="8"/>
    <col width="11" customWidth="1" min="9" max="9"/>
    <col width="10" customWidth="1" min="10" max="10"/>
    <col width="16" customWidth="1" min="11" max="11"/>
    <col width="9" customWidth="1" min="12" max="12"/>
    <col width="12" customWidth="1" min="13" max="13"/>
    <col hidden="1" width="6" customWidth="1" min="14" max="14"/>
  </cols>
  <sheetData>
    <row r="1" ht="38" customHeight="1">
      <c r="A1" s="1" t="n"/>
      <c r="B1" s="2" t="inlineStr">
        <is>
          <t>Plan d'actions</t>
        </is>
      </c>
      <c r="C1" s="1" t="n"/>
      <c r="D1" s="1" t="n"/>
      <c r="E1" s="1" t="n"/>
      <c r="F1" s="1" t="n"/>
      <c r="G1" s="1" t="n"/>
      <c r="H1" s="1" t="n"/>
      <c r="I1" s="1" t="n"/>
      <c r="J1" s="1" t="n"/>
      <c r="K1" s="1" t="n"/>
      <c r="L1" s="1" t="n"/>
      <c r="M1" s="18" t="inlineStr">
        <is>
          <t>⌂ Mode d'emploi</t>
        </is>
      </c>
    </row>
    <row r="2" ht="22" customHeight="1">
      <c r="A2" s="3" t="n"/>
      <c r="B2" s="4" t="inlineStr">
        <is>
          <t>Les actions ouvertes de la feuille « AMDEC », triées par échéance. Les plus anciennes, donc les retards, en premier.</t>
        </is>
      </c>
      <c r="C2" s="3" t="n"/>
      <c r="D2" s="3" t="n"/>
      <c r="E2" s="3" t="n"/>
      <c r="F2" s="3" t="n"/>
      <c r="G2" s="3" t="n"/>
      <c r="H2" s="3" t="n"/>
      <c r="I2" s="3" t="n"/>
      <c r="J2" s="3" t="n"/>
      <c r="K2" s="3" t="n"/>
      <c r="L2" s="3" t="n"/>
      <c r="M2" s="3" t="n"/>
    </row>
    <row r="3" ht="18" customHeight="1"/>
    <row r="4">
      <c r="A4" s="60" t="inlineStr">
        <is>
          <t>Responsable :</t>
        </is>
      </c>
      <c r="C4" s="61" t="n"/>
      <c r="D4" s="43" t="n"/>
      <c r="E4" s="38" t="inlineStr">
        <is>
          <t>Vide = toutes les actions.</t>
        </is>
      </c>
      <c r="H4" s="62" t="inlineStr">
        <is>
          <t>Actions listées</t>
        </is>
      </c>
      <c r="I4" s="63">
        <f>COUNT(am_plankey)</f>
        <v>0.0</v>
      </c>
      <c r="J4" s="62" t="inlineStr">
        <is>
          <t>Coût des actions listées</t>
        </is>
      </c>
      <c r="L4" s="64">
        <f>SUMIFS(am_cost,am_plankey,"&gt;0")</f>
        <v>0.0</v>
      </c>
    </row>
    <row r="6" ht="34" customHeight="1">
      <c r="A6" s="39" t="inlineStr">
        <is>
          <t>#</t>
        </is>
      </c>
      <c r="B6" s="39" t="inlineStr">
        <is>
          <t>N°</t>
        </is>
      </c>
      <c r="C6" s="39" t="inlineStr">
        <is>
          <t>Étape</t>
        </is>
      </c>
      <c r="D6" s="39" t="inlineStr">
        <is>
          <t>Mode de défaillance</t>
        </is>
      </c>
      <c r="E6" s="39" t="inlineStr">
        <is>
          <t>IPR</t>
        </is>
      </c>
      <c r="F6" s="39" t="inlineStr">
        <is>
          <t>Criticité</t>
        </is>
      </c>
      <c r="G6" s="39" t="inlineStr">
        <is>
          <t>Action recommandée</t>
        </is>
      </c>
      <c r="H6" s="39" t="inlineStr">
        <is>
          <t>Responsable</t>
        </is>
      </c>
      <c r="I6" s="39" t="inlineStr">
        <is>
          <t>Échéance</t>
        </is>
      </c>
      <c r="J6" s="39" t="inlineStr">
        <is>
          <t>Statut</t>
        </is>
      </c>
      <c r="K6" s="39" t="inlineStr">
        <is>
          <t>Suivi</t>
        </is>
      </c>
      <c r="L6" s="39" t="inlineStr">
        <is>
          <t>Retard (j)</t>
        </is>
      </c>
      <c r="M6" s="39" t="inlineStr">
        <is>
          <t>Coût</t>
        </is>
      </c>
      <c r="N6" s="39" t="inlineStr">
        <is>
          <t>Ligne</t>
        </is>
      </c>
    </row>
    <row r="7" ht="30" customHeight="1">
      <c r="A7" s="65" t="str">
        <f>IF(N7="","",1)</f>
        <v/>
      </c>
      <c r="B7" s="66" t="str">
        <f>IF(N7="","",INDEX(am_num,N7)&amp;"")</f>
        <v/>
      </c>
      <c r="C7" s="67" t="str">
        <f>IF(N7="","",INDEX(am_step,N7)&amp;"")</f>
        <v/>
      </c>
      <c r="D7" s="67" t="str">
        <f>IF(N7="","",INDEX(am_mode,N7)&amp;"")</f>
        <v/>
      </c>
      <c r="E7" s="65" t="str">
        <f>IF(N7="","",INDEX(am_ipr,N7))</f>
        <v/>
      </c>
      <c r="F7" s="65" t="str">
        <f>IF(N7="","",INDEX(am_crit,N7)&amp;"")</f>
        <v/>
      </c>
      <c r="G7" s="67" t="str">
        <f>IF(N7="","",INDEX(am_action,N7)&amp;"")</f>
        <v/>
      </c>
      <c r="H7" s="67" t="str">
        <f>IF(N7="","",INDEX(am_who,N7)&amp;"")</f>
        <v/>
      </c>
      <c r="I7" s="68" t="str">
        <f>IF(N7="","",IF(N(INDEX(am_due,N7))&gt;0,INDEX(am_due,N7),""))</f>
        <v/>
      </c>
      <c r="J7" s="65" t="str">
        <f>IF(N7="","",INDEX(am_status,N7)&amp;"")</f>
        <v/>
      </c>
      <c r="K7" s="65" t="str">
        <f>IF(N7="","",INDEX(am_suivi,N7)&amp;"")</f>
        <v/>
      </c>
      <c r="L7" s="65" t="str">
        <f>IF(K7="En retard",p_today-I7,"")</f>
        <v/>
      </c>
      <c r="M7" s="69" t="str">
        <f>IF(N7="","",IF(ISNUMBER(INDEX(am_cost,N7)),INDEX(am_cost,N7),""))</f>
        <v/>
      </c>
      <c r="N7" s="66" t="str">
        <f>IFERROR(MATCH(SMALL(am_plankey,1),am_plankey,0),"")</f>
        <v/>
      </c>
    </row>
    <row r="8" ht="30" customHeight="1">
      <c r="A8" s="65" t="str">
        <f>IF(N8="","",2)</f>
        <v/>
      </c>
      <c r="B8" s="66" t="str">
        <f>IF(N8="","",INDEX(am_num,N8)&amp;"")</f>
        <v/>
      </c>
      <c r="C8" s="67" t="str">
        <f>IF(N8="","",INDEX(am_step,N8)&amp;"")</f>
        <v/>
      </c>
      <c r="D8" s="67" t="str">
        <f>IF(N8="","",INDEX(am_mode,N8)&amp;"")</f>
        <v/>
      </c>
      <c r="E8" s="65" t="str">
        <f>IF(N8="","",INDEX(am_ipr,N8))</f>
        <v/>
      </c>
      <c r="F8" s="65" t="str">
        <f>IF(N8="","",INDEX(am_crit,N8)&amp;"")</f>
        <v/>
      </c>
      <c r="G8" s="67" t="str">
        <f>IF(N8="","",INDEX(am_action,N8)&amp;"")</f>
        <v/>
      </c>
      <c r="H8" s="67" t="str">
        <f>IF(N8="","",INDEX(am_who,N8)&amp;"")</f>
        <v/>
      </c>
      <c r="I8" s="68" t="str">
        <f>IF(N8="","",IF(N(INDEX(am_due,N8))&gt;0,INDEX(am_due,N8),""))</f>
        <v/>
      </c>
      <c r="J8" s="65" t="str">
        <f>IF(N8="","",INDEX(am_status,N8)&amp;"")</f>
        <v/>
      </c>
      <c r="K8" s="65" t="str">
        <f>IF(N8="","",INDEX(am_suivi,N8)&amp;"")</f>
        <v/>
      </c>
      <c r="L8" s="65" t="str">
        <f>IF(K8="En retard",p_today-I8,"")</f>
        <v/>
      </c>
      <c r="M8" s="69" t="str">
        <f>IF(N8="","",IF(ISNUMBER(INDEX(am_cost,N8)),INDEX(am_cost,N8),""))</f>
        <v/>
      </c>
      <c r="N8" s="66" t="str">
        <f>IFERROR(MATCH(SMALL(am_plankey,2),am_plankey,0),"")</f>
        <v/>
      </c>
    </row>
    <row r="9" ht="30" customHeight="1">
      <c r="A9" s="65" t="str">
        <f>IF(N9="","",3)</f>
        <v/>
      </c>
      <c r="B9" s="66" t="str">
        <f>IF(N9="","",INDEX(am_num,N9)&amp;"")</f>
        <v/>
      </c>
      <c r="C9" s="67" t="str">
        <f>IF(N9="","",INDEX(am_step,N9)&amp;"")</f>
        <v/>
      </c>
      <c r="D9" s="67" t="str">
        <f>IF(N9="","",INDEX(am_mode,N9)&amp;"")</f>
        <v/>
      </c>
      <c r="E9" s="65" t="str">
        <f>IF(N9="","",INDEX(am_ipr,N9))</f>
        <v/>
      </c>
      <c r="F9" s="65" t="str">
        <f>IF(N9="","",INDEX(am_crit,N9)&amp;"")</f>
        <v/>
      </c>
      <c r="G9" s="67" t="str">
        <f>IF(N9="","",INDEX(am_action,N9)&amp;"")</f>
        <v/>
      </c>
      <c r="H9" s="67" t="str">
        <f>IF(N9="","",INDEX(am_who,N9)&amp;"")</f>
        <v/>
      </c>
      <c r="I9" s="68" t="str">
        <f>IF(N9="","",IF(N(INDEX(am_due,N9))&gt;0,INDEX(am_due,N9),""))</f>
        <v/>
      </c>
      <c r="J9" s="65" t="str">
        <f>IF(N9="","",INDEX(am_status,N9)&amp;"")</f>
        <v/>
      </c>
      <c r="K9" s="65" t="str">
        <f>IF(N9="","",INDEX(am_suivi,N9)&amp;"")</f>
        <v/>
      </c>
      <c r="L9" s="65" t="str">
        <f>IF(K9="En retard",p_today-I9,"")</f>
        <v/>
      </c>
      <c r="M9" s="69" t="str">
        <f>IF(N9="","",IF(ISNUMBER(INDEX(am_cost,N9)),INDEX(am_cost,N9),""))</f>
        <v/>
      </c>
      <c r="N9" s="66" t="str">
        <f>IFERROR(MATCH(SMALL(am_plankey,3),am_plankey,0),"")</f>
        <v/>
      </c>
    </row>
    <row r="10" ht="30" customHeight="1">
      <c r="A10" s="65" t="str">
        <f>IF(N10="","",4)</f>
        <v/>
      </c>
      <c r="B10" s="66" t="str">
        <f>IF(N10="","",INDEX(am_num,N10)&amp;"")</f>
        <v/>
      </c>
      <c r="C10" s="67" t="str">
        <f>IF(N10="","",INDEX(am_step,N10)&amp;"")</f>
        <v/>
      </c>
      <c r="D10" s="67" t="str">
        <f>IF(N10="","",INDEX(am_mode,N10)&amp;"")</f>
        <v/>
      </c>
      <c r="E10" s="65" t="str">
        <f>IF(N10="","",INDEX(am_ipr,N10))</f>
        <v/>
      </c>
      <c r="F10" s="65" t="str">
        <f>IF(N10="","",INDEX(am_crit,N10)&amp;"")</f>
        <v/>
      </c>
      <c r="G10" s="67" t="str">
        <f>IF(N10="","",INDEX(am_action,N10)&amp;"")</f>
        <v/>
      </c>
      <c r="H10" s="67" t="str">
        <f>IF(N10="","",INDEX(am_who,N10)&amp;"")</f>
        <v/>
      </c>
      <c r="I10" s="68" t="str">
        <f>IF(N10="","",IF(N(INDEX(am_due,N10))&gt;0,INDEX(am_due,N10),""))</f>
        <v/>
      </c>
      <c r="J10" s="65" t="str">
        <f>IF(N10="","",INDEX(am_status,N10)&amp;"")</f>
        <v/>
      </c>
      <c r="K10" s="65" t="str">
        <f>IF(N10="","",INDEX(am_suivi,N10)&amp;"")</f>
        <v/>
      </c>
      <c r="L10" s="65" t="str">
        <f>IF(K10="En retard",p_today-I10,"")</f>
        <v/>
      </c>
      <c r="M10" s="69" t="str">
        <f>IF(N10="","",IF(ISNUMBER(INDEX(am_cost,N10)),INDEX(am_cost,N10),""))</f>
        <v/>
      </c>
      <c r="N10" s="66" t="str">
        <f>IFERROR(MATCH(SMALL(am_plankey,4),am_plankey,0),"")</f>
        <v/>
      </c>
    </row>
    <row r="11" ht="30" customHeight="1">
      <c r="A11" s="65" t="str">
        <f>IF(N11="","",5)</f>
        <v/>
      </c>
      <c r="B11" s="66" t="str">
        <f>IF(N11="","",INDEX(am_num,N11)&amp;"")</f>
        <v/>
      </c>
      <c r="C11" s="67" t="str">
        <f>IF(N11="","",INDEX(am_step,N11)&amp;"")</f>
        <v/>
      </c>
      <c r="D11" s="67" t="str">
        <f>IF(N11="","",INDEX(am_mode,N11)&amp;"")</f>
        <v/>
      </c>
      <c r="E11" s="65" t="str">
        <f>IF(N11="","",INDEX(am_ipr,N11))</f>
        <v/>
      </c>
      <c r="F11" s="65" t="str">
        <f>IF(N11="","",INDEX(am_crit,N11)&amp;"")</f>
        <v/>
      </c>
      <c r="G11" s="67" t="str">
        <f>IF(N11="","",INDEX(am_action,N11)&amp;"")</f>
        <v/>
      </c>
      <c r="H11" s="67" t="str">
        <f>IF(N11="","",INDEX(am_who,N11)&amp;"")</f>
        <v/>
      </c>
      <c r="I11" s="68" t="str">
        <f>IF(N11="","",IF(N(INDEX(am_due,N11))&gt;0,INDEX(am_due,N11),""))</f>
        <v/>
      </c>
      <c r="J11" s="65" t="str">
        <f>IF(N11="","",INDEX(am_status,N11)&amp;"")</f>
        <v/>
      </c>
      <c r="K11" s="65" t="str">
        <f>IF(N11="","",INDEX(am_suivi,N11)&amp;"")</f>
        <v/>
      </c>
      <c r="L11" s="65" t="str">
        <f>IF(K11="En retard",p_today-I11,"")</f>
        <v/>
      </c>
      <c r="M11" s="69" t="str">
        <f>IF(N11="","",IF(ISNUMBER(INDEX(am_cost,N11)),INDEX(am_cost,N11),""))</f>
        <v/>
      </c>
      <c r="N11" s="66" t="str">
        <f>IFERROR(MATCH(SMALL(am_plankey,5),am_plankey,0),"")</f>
        <v/>
      </c>
    </row>
    <row r="12" ht="30" customHeight="1">
      <c r="A12" s="65" t="str">
        <f>IF(N12="","",6)</f>
        <v/>
      </c>
      <c r="B12" s="66" t="str">
        <f>IF(N12="","",INDEX(am_num,N12)&amp;"")</f>
        <v/>
      </c>
      <c r="C12" s="67" t="str">
        <f>IF(N12="","",INDEX(am_step,N12)&amp;"")</f>
        <v/>
      </c>
      <c r="D12" s="67" t="str">
        <f>IF(N12="","",INDEX(am_mode,N12)&amp;"")</f>
        <v/>
      </c>
      <c r="E12" s="65" t="str">
        <f>IF(N12="","",INDEX(am_ipr,N12))</f>
        <v/>
      </c>
      <c r="F12" s="65" t="str">
        <f>IF(N12="","",INDEX(am_crit,N12)&amp;"")</f>
        <v/>
      </c>
      <c r="G12" s="67" t="str">
        <f>IF(N12="","",INDEX(am_action,N12)&amp;"")</f>
        <v/>
      </c>
      <c r="H12" s="67" t="str">
        <f>IF(N12="","",INDEX(am_who,N12)&amp;"")</f>
        <v/>
      </c>
      <c r="I12" s="68" t="str">
        <f>IF(N12="","",IF(N(INDEX(am_due,N12))&gt;0,INDEX(am_due,N12),""))</f>
        <v/>
      </c>
      <c r="J12" s="65" t="str">
        <f>IF(N12="","",INDEX(am_status,N12)&amp;"")</f>
        <v/>
      </c>
      <c r="K12" s="65" t="str">
        <f>IF(N12="","",INDEX(am_suivi,N12)&amp;"")</f>
        <v/>
      </c>
      <c r="L12" s="65" t="str">
        <f>IF(K12="En retard",p_today-I12,"")</f>
        <v/>
      </c>
      <c r="M12" s="69" t="str">
        <f>IF(N12="","",IF(ISNUMBER(INDEX(am_cost,N12)),INDEX(am_cost,N12),""))</f>
        <v/>
      </c>
      <c r="N12" s="66" t="str">
        <f>IFERROR(MATCH(SMALL(am_plankey,6),am_plankey,0),"")</f>
        <v/>
      </c>
    </row>
    <row r="13" ht="30" customHeight="1">
      <c r="A13" s="65" t="str">
        <f>IF(N13="","",7)</f>
        <v/>
      </c>
      <c r="B13" s="66" t="str">
        <f>IF(N13="","",INDEX(am_num,N13)&amp;"")</f>
        <v/>
      </c>
      <c r="C13" s="67" t="str">
        <f>IF(N13="","",INDEX(am_step,N13)&amp;"")</f>
        <v/>
      </c>
      <c r="D13" s="67" t="str">
        <f>IF(N13="","",INDEX(am_mode,N13)&amp;"")</f>
        <v/>
      </c>
      <c r="E13" s="65" t="str">
        <f>IF(N13="","",INDEX(am_ipr,N13))</f>
        <v/>
      </c>
      <c r="F13" s="65" t="str">
        <f>IF(N13="","",INDEX(am_crit,N13)&amp;"")</f>
        <v/>
      </c>
      <c r="G13" s="67" t="str">
        <f>IF(N13="","",INDEX(am_action,N13)&amp;"")</f>
        <v/>
      </c>
      <c r="H13" s="67" t="str">
        <f>IF(N13="","",INDEX(am_who,N13)&amp;"")</f>
        <v/>
      </c>
      <c r="I13" s="68" t="str">
        <f>IF(N13="","",IF(N(INDEX(am_due,N13))&gt;0,INDEX(am_due,N13),""))</f>
        <v/>
      </c>
      <c r="J13" s="65" t="str">
        <f>IF(N13="","",INDEX(am_status,N13)&amp;"")</f>
        <v/>
      </c>
      <c r="K13" s="65" t="str">
        <f>IF(N13="","",INDEX(am_suivi,N13)&amp;"")</f>
        <v/>
      </c>
      <c r="L13" s="65" t="str">
        <f>IF(K13="En retard",p_today-I13,"")</f>
        <v/>
      </c>
      <c r="M13" s="69" t="str">
        <f>IF(N13="","",IF(ISNUMBER(INDEX(am_cost,N13)),INDEX(am_cost,N13),""))</f>
        <v/>
      </c>
      <c r="N13" s="66" t="str">
        <f>IFERROR(MATCH(SMALL(am_plankey,7),am_plankey,0),"")</f>
        <v/>
      </c>
    </row>
    <row r="14" ht="30" customHeight="1">
      <c r="A14" s="65" t="str">
        <f>IF(N14="","",8)</f>
        <v/>
      </c>
      <c r="B14" s="66" t="str">
        <f>IF(N14="","",INDEX(am_num,N14)&amp;"")</f>
        <v/>
      </c>
      <c r="C14" s="67" t="str">
        <f>IF(N14="","",INDEX(am_step,N14)&amp;"")</f>
        <v/>
      </c>
      <c r="D14" s="67" t="str">
        <f>IF(N14="","",INDEX(am_mode,N14)&amp;"")</f>
        <v/>
      </c>
      <c r="E14" s="65" t="str">
        <f>IF(N14="","",INDEX(am_ipr,N14))</f>
        <v/>
      </c>
      <c r="F14" s="65" t="str">
        <f>IF(N14="","",INDEX(am_crit,N14)&amp;"")</f>
        <v/>
      </c>
      <c r="G14" s="67" t="str">
        <f>IF(N14="","",INDEX(am_action,N14)&amp;"")</f>
        <v/>
      </c>
      <c r="H14" s="67" t="str">
        <f>IF(N14="","",INDEX(am_who,N14)&amp;"")</f>
        <v/>
      </c>
      <c r="I14" s="68" t="str">
        <f>IF(N14="","",IF(N(INDEX(am_due,N14))&gt;0,INDEX(am_due,N14),""))</f>
        <v/>
      </c>
      <c r="J14" s="65" t="str">
        <f>IF(N14="","",INDEX(am_status,N14)&amp;"")</f>
        <v/>
      </c>
      <c r="K14" s="65" t="str">
        <f>IF(N14="","",INDEX(am_suivi,N14)&amp;"")</f>
        <v/>
      </c>
      <c r="L14" s="65" t="str">
        <f>IF(K14="En retard",p_today-I14,"")</f>
        <v/>
      </c>
      <c r="M14" s="69" t="str">
        <f>IF(N14="","",IF(ISNUMBER(INDEX(am_cost,N14)),INDEX(am_cost,N14),""))</f>
        <v/>
      </c>
      <c r="N14" s="66" t="str">
        <f>IFERROR(MATCH(SMALL(am_plankey,8),am_plankey,0),"")</f>
        <v/>
      </c>
    </row>
    <row r="15" ht="30" customHeight="1">
      <c r="A15" s="65" t="str">
        <f>IF(N15="","",9)</f>
        <v/>
      </c>
      <c r="B15" s="66" t="str">
        <f>IF(N15="","",INDEX(am_num,N15)&amp;"")</f>
        <v/>
      </c>
      <c r="C15" s="67" t="str">
        <f>IF(N15="","",INDEX(am_step,N15)&amp;"")</f>
        <v/>
      </c>
      <c r="D15" s="67" t="str">
        <f>IF(N15="","",INDEX(am_mode,N15)&amp;"")</f>
        <v/>
      </c>
      <c r="E15" s="65" t="str">
        <f>IF(N15="","",INDEX(am_ipr,N15))</f>
        <v/>
      </c>
      <c r="F15" s="65" t="str">
        <f>IF(N15="","",INDEX(am_crit,N15)&amp;"")</f>
        <v/>
      </c>
      <c r="G15" s="67" t="str">
        <f>IF(N15="","",INDEX(am_action,N15)&amp;"")</f>
        <v/>
      </c>
      <c r="H15" s="67" t="str">
        <f>IF(N15="","",INDEX(am_who,N15)&amp;"")</f>
        <v/>
      </c>
      <c r="I15" s="68" t="str">
        <f>IF(N15="","",IF(N(INDEX(am_due,N15))&gt;0,INDEX(am_due,N15),""))</f>
        <v/>
      </c>
      <c r="J15" s="65" t="str">
        <f>IF(N15="","",INDEX(am_status,N15)&amp;"")</f>
        <v/>
      </c>
      <c r="K15" s="65" t="str">
        <f>IF(N15="","",INDEX(am_suivi,N15)&amp;"")</f>
        <v/>
      </c>
      <c r="L15" s="65" t="str">
        <f>IF(K15="En retard",p_today-I15,"")</f>
        <v/>
      </c>
      <c r="M15" s="69" t="str">
        <f>IF(N15="","",IF(ISNUMBER(INDEX(am_cost,N15)),INDEX(am_cost,N15),""))</f>
        <v/>
      </c>
      <c r="N15" s="66" t="str">
        <f>IFERROR(MATCH(SMALL(am_plankey,9),am_plankey,0),"")</f>
        <v/>
      </c>
    </row>
    <row r="16" ht="30" customHeight="1">
      <c r="A16" s="65" t="str">
        <f>IF(N16="","",10)</f>
        <v/>
      </c>
      <c r="B16" s="66" t="str">
        <f>IF(N16="","",INDEX(am_num,N16)&amp;"")</f>
        <v/>
      </c>
      <c r="C16" s="67" t="str">
        <f>IF(N16="","",INDEX(am_step,N16)&amp;"")</f>
        <v/>
      </c>
      <c r="D16" s="67" t="str">
        <f>IF(N16="","",INDEX(am_mode,N16)&amp;"")</f>
        <v/>
      </c>
      <c r="E16" s="65" t="str">
        <f>IF(N16="","",INDEX(am_ipr,N16))</f>
        <v/>
      </c>
      <c r="F16" s="65" t="str">
        <f>IF(N16="","",INDEX(am_crit,N16)&amp;"")</f>
        <v/>
      </c>
      <c r="G16" s="67" t="str">
        <f>IF(N16="","",INDEX(am_action,N16)&amp;"")</f>
        <v/>
      </c>
      <c r="H16" s="67" t="str">
        <f>IF(N16="","",INDEX(am_who,N16)&amp;"")</f>
        <v/>
      </c>
      <c r="I16" s="68" t="str">
        <f>IF(N16="","",IF(N(INDEX(am_due,N16))&gt;0,INDEX(am_due,N16),""))</f>
        <v/>
      </c>
      <c r="J16" s="65" t="str">
        <f>IF(N16="","",INDEX(am_status,N16)&amp;"")</f>
        <v/>
      </c>
      <c r="K16" s="65" t="str">
        <f>IF(N16="","",INDEX(am_suivi,N16)&amp;"")</f>
        <v/>
      </c>
      <c r="L16" s="65" t="str">
        <f>IF(K16="En retard",p_today-I16,"")</f>
        <v/>
      </c>
      <c r="M16" s="69" t="str">
        <f>IF(N16="","",IF(ISNUMBER(INDEX(am_cost,N16)),INDEX(am_cost,N16),""))</f>
        <v/>
      </c>
      <c r="N16" s="66" t="str">
        <f>IFERROR(MATCH(SMALL(am_plankey,10),am_plankey,0),"")</f>
        <v/>
      </c>
    </row>
    <row r="17" ht="30" customHeight="1">
      <c r="A17" s="65" t="str">
        <f>IF(N17="","",11)</f>
        <v/>
      </c>
      <c r="B17" s="66" t="str">
        <f>IF(N17="","",INDEX(am_num,N17)&amp;"")</f>
        <v/>
      </c>
      <c r="C17" s="67" t="str">
        <f>IF(N17="","",INDEX(am_step,N17)&amp;"")</f>
        <v/>
      </c>
      <c r="D17" s="67" t="str">
        <f>IF(N17="","",INDEX(am_mode,N17)&amp;"")</f>
        <v/>
      </c>
      <c r="E17" s="65" t="str">
        <f>IF(N17="","",INDEX(am_ipr,N17))</f>
        <v/>
      </c>
      <c r="F17" s="65" t="str">
        <f>IF(N17="","",INDEX(am_crit,N17)&amp;"")</f>
        <v/>
      </c>
      <c r="G17" s="67" t="str">
        <f>IF(N17="","",INDEX(am_action,N17)&amp;"")</f>
        <v/>
      </c>
      <c r="H17" s="67" t="str">
        <f>IF(N17="","",INDEX(am_who,N17)&amp;"")</f>
        <v/>
      </c>
      <c r="I17" s="68" t="str">
        <f>IF(N17="","",IF(N(INDEX(am_due,N17))&gt;0,INDEX(am_due,N17),""))</f>
        <v/>
      </c>
      <c r="J17" s="65" t="str">
        <f>IF(N17="","",INDEX(am_status,N17)&amp;"")</f>
        <v/>
      </c>
      <c r="K17" s="65" t="str">
        <f>IF(N17="","",INDEX(am_suivi,N17)&amp;"")</f>
        <v/>
      </c>
      <c r="L17" s="65" t="str">
        <f>IF(K17="En retard",p_today-I17,"")</f>
        <v/>
      </c>
      <c r="M17" s="69" t="str">
        <f>IF(N17="","",IF(ISNUMBER(INDEX(am_cost,N17)),INDEX(am_cost,N17),""))</f>
        <v/>
      </c>
      <c r="N17" s="66" t="str">
        <f>IFERROR(MATCH(SMALL(am_plankey,11),am_plankey,0),"")</f>
        <v/>
      </c>
    </row>
    <row r="18" ht="30" customHeight="1">
      <c r="A18" s="65" t="str">
        <f>IF(N18="","",12)</f>
        <v/>
      </c>
      <c r="B18" s="66" t="str">
        <f>IF(N18="","",INDEX(am_num,N18)&amp;"")</f>
        <v/>
      </c>
      <c r="C18" s="67" t="str">
        <f>IF(N18="","",INDEX(am_step,N18)&amp;"")</f>
        <v/>
      </c>
      <c r="D18" s="67" t="str">
        <f>IF(N18="","",INDEX(am_mode,N18)&amp;"")</f>
        <v/>
      </c>
      <c r="E18" s="65" t="str">
        <f>IF(N18="","",INDEX(am_ipr,N18))</f>
        <v/>
      </c>
      <c r="F18" s="65" t="str">
        <f>IF(N18="","",INDEX(am_crit,N18)&amp;"")</f>
        <v/>
      </c>
      <c r="G18" s="67" t="str">
        <f>IF(N18="","",INDEX(am_action,N18)&amp;"")</f>
        <v/>
      </c>
      <c r="H18" s="67" t="str">
        <f>IF(N18="","",INDEX(am_who,N18)&amp;"")</f>
        <v/>
      </c>
      <c r="I18" s="68" t="str">
        <f>IF(N18="","",IF(N(INDEX(am_due,N18))&gt;0,INDEX(am_due,N18),""))</f>
        <v/>
      </c>
      <c r="J18" s="65" t="str">
        <f>IF(N18="","",INDEX(am_status,N18)&amp;"")</f>
        <v/>
      </c>
      <c r="K18" s="65" t="str">
        <f>IF(N18="","",INDEX(am_suivi,N18)&amp;"")</f>
        <v/>
      </c>
      <c r="L18" s="65" t="str">
        <f>IF(K18="En retard",p_today-I18,"")</f>
        <v/>
      </c>
      <c r="M18" s="69" t="str">
        <f>IF(N18="","",IF(ISNUMBER(INDEX(am_cost,N18)),INDEX(am_cost,N18),""))</f>
        <v/>
      </c>
      <c r="N18" s="66" t="str">
        <f>IFERROR(MATCH(SMALL(am_plankey,12),am_plankey,0),"")</f>
        <v/>
      </c>
    </row>
    <row r="19" ht="30" customHeight="1">
      <c r="A19" s="65" t="str">
        <f>IF(N19="","",13)</f>
        <v/>
      </c>
      <c r="B19" s="66" t="str">
        <f>IF(N19="","",INDEX(am_num,N19)&amp;"")</f>
        <v/>
      </c>
      <c r="C19" s="67" t="str">
        <f>IF(N19="","",INDEX(am_step,N19)&amp;"")</f>
        <v/>
      </c>
      <c r="D19" s="67" t="str">
        <f>IF(N19="","",INDEX(am_mode,N19)&amp;"")</f>
        <v/>
      </c>
      <c r="E19" s="65" t="str">
        <f>IF(N19="","",INDEX(am_ipr,N19))</f>
        <v/>
      </c>
      <c r="F19" s="65" t="str">
        <f>IF(N19="","",INDEX(am_crit,N19)&amp;"")</f>
        <v/>
      </c>
      <c r="G19" s="67" t="str">
        <f>IF(N19="","",INDEX(am_action,N19)&amp;"")</f>
        <v/>
      </c>
      <c r="H19" s="67" t="str">
        <f>IF(N19="","",INDEX(am_who,N19)&amp;"")</f>
        <v/>
      </c>
      <c r="I19" s="68" t="str">
        <f>IF(N19="","",IF(N(INDEX(am_due,N19))&gt;0,INDEX(am_due,N19),""))</f>
        <v/>
      </c>
      <c r="J19" s="65" t="str">
        <f>IF(N19="","",INDEX(am_status,N19)&amp;"")</f>
        <v/>
      </c>
      <c r="K19" s="65" t="str">
        <f>IF(N19="","",INDEX(am_suivi,N19)&amp;"")</f>
        <v/>
      </c>
      <c r="L19" s="65" t="str">
        <f>IF(K19="En retard",p_today-I19,"")</f>
        <v/>
      </c>
      <c r="M19" s="69" t="str">
        <f>IF(N19="","",IF(ISNUMBER(INDEX(am_cost,N19)),INDEX(am_cost,N19),""))</f>
        <v/>
      </c>
      <c r="N19" s="66" t="str">
        <f>IFERROR(MATCH(SMALL(am_plankey,13),am_plankey,0),"")</f>
        <v/>
      </c>
    </row>
    <row r="20" ht="30" customHeight="1">
      <c r="A20" s="65" t="str">
        <f>IF(N20="","",14)</f>
        <v/>
      </c>
      <c r="B20" s="66" t="str">
        <f>IF(N20="","",INDEX(am_num,N20)&amp;"")</f>
        <v/>
      </c>
      <c r="C20" s="67" t="str">
        <f>IF(N20="","",INDEX(am_step,N20)&amp;"")</f>
        <v/>
      </c>
      <c r="D20" s="67" t="str">
        <f>IF(N20="","",INDEX(am_mode,N20)&amp;"")</f>
        <v/>
      </c>
      <c r="E20" s="65" t="str">
        <f>IF(N20="","",INDEX(am_ipr,N20))</f>
        <v/>
      </c>
      <c r="F20" s="65" t="str">
        <f>IF(N20="","",INDEX(am_crit,N20)&amp;"")</f>
        <v/>
      </c>
      <c r="G20" s="67" t="str">
        <f>IF(N20="","",INDEX(am_action,N20)&amp;"")</f>
        <v/>
      </c>
      <c r="H20" s="67" t="str">
        <f>IF(N20="","",INDEX(am_who,N20)&amp;"")</f>
        <v/>
      </c>
      <c r="I20" s="68" t="str">
        <f>IF(N20="","",IF(N(INDEX(am_due,N20))&gt;0,INDEX(am_due,N20),""))</f>
        <v/>
      </c>
      <c r="J20" s="65" t="str">
        <f>IF(N20="","",INDEX(am_status,N20)&amp;"")</f>
        <v/>
      </c>
      <c r="K20" s="65" t="str">
        <f>IF(N20="","",INDEX(am_suivi,N20)&amp;"")</f>
        <v/>
      </c>
      <c r="L20" s="65" t="str">
        <f>IF(K20="En retard",p_today-I20,"")</f>
        <v/>
      </c>
      <c r="M20" s="69" t="str">
        <f>IF(N20="","",IF(ISNUMBER(INDEX(am_cost,N20)),INDEX(am_cost,N20),""))</f>
        <v/>
      </c>
      <c r="N20" s="66" t="str">
        <f>IFERROR(MATCH(SMALL(am_plankey,14),am_plankey,0),"")</f>
        <v/>
      </c>
    </row>
    <row r="21" ht="30" customHeight="1">
      <c r="A21" s="65" t="str">
        <f>IF(N21="","",15)</f>
        <v/>
      </c>
      <c r="B21" s="66" t="str">
        <f>IF(N21="","",INDEX(am_num,N21)&amp;"")</f>
        <v/>
      </c>
      <c r="C21" s="67" t="str">
        <f>IF(N21="","",INDEX(am_step,N21)&amp;"")</f>
        <v/>
      </c>
      <c r="D21" s="67" t="str">
        <f>IF(N21="","",INDEX(am_mode,N21)&amp;"")</f>
        <v/>
      </c>
      <c r="E21" s="65" t="str">
        <f>IF(N21="","",INDEX(am_ipr,N21))</f>
        <v/>
      </c>
      <c r="F21" s="65" t="str">
        <f>IF(N21="","",INDEX(am_crit,N21)&amp;"")</f>
        <v/>
      </c>
      <c r="G21" s="67" t="str">
        <f>IF(N21="","",INDEX(am_action,N21)&amp;"")</f>
        <v/>
      </c>
      <c r="H21" s="67" t="str">
        <f>IF(N21="","",INDEX(am_who,N21)&amp;"")</f>
        <v/>
      </c>
      <c r="I21" s="68" t="str">
        <f>IF(N21="","",IF(N(INDEX(am_due,N21))&gt;0,INDEX(am_due,N21),""))</f>
        <v/>
      </c>
      <c r="J21" s="65" t="str">
        <f>IF(N21="","",INDEX(am_status,N21)&amp;"")</f>
        <v/>
      </c>
      <c r="K21" s="65" t="str">
        <f>IF(N21="","",INDEX(am_suivi,N21)&amp;"")</f>
        <v/>
      </c>
      <c r="L21" s="65" t="str">
        <f>IF(K21="En retard",p_today-I21,"")</f>
        <v/>
      </c>
      <c r="M21" s="69" t="str">
        <f>IF(N21="","",IF(ISNUMBER(INDEX(am_cost,N21)),INDEX(am_cost,N21),""))</f>
        <v/>
      </c>
      <c r="N21" s="66" t="str">
        <f>IFERROR(MATCH(SMALL(am_plankey,15),am_plankey,0),"")</f>
        <v/>
      </c>
    </row>
    <row r="22" ht="30" customHeight="1">
      <c r="A22" s="65" t="str">
        <f>IF(N22="","",16)</f>
        <v/>
      </c>
      <c r="B22" s="66" t="str">
        <f>IF(N22="","",INDEX(am_num,N22)&amp;"")</f>
        <v/>
      </c>
      <c r="C22" s="67" t="str">
        <f>IF(N22="","",INDEX(am_step,N22)&amp;"")</f>
        <v/>
      </c>
      <c r="D22" s="67" t="str">
        <f>IF(N22="","",INDEX(am_mode,N22)&amp;"")</f>
        <v/>
      </c>
      <c r="E22" s="65" t="str">
        <f>IF(N22="","",INDEX(am_ipr,N22))</f>
        <v/>
      </c>
      <c r="F22" s="65" t="str">
        <f>IF(N22="","",INDEX(am_crit,N22)&amp;"")</f>
        <v/>
      </c>
      <c r="G22" s="67" t="str">
        <f>IF(N22="","",INDEX(am_action,N22)&amp;"")</f>
        <v/>
      </c>
      <c r="H22" s="67" t="str">
        <f>IF(N22="","",INDEX(am_who,N22)&amp;"")</f>
        <v/>
      </c>
      <c r="I22" s="68" t="str">
        <f>IF(N22="","",IF(N(INDEX(am_due,N22))&gt;0,INDEX(am_due,N22),""))</f>
        <v/>
      </c>
      <c r="J22" s="65" t="str">
        <f>IF(N22="","",INDEX(am_status,N22)&amp;"")</f>
        <v/>
      </c>
      <c r="K22" s="65" t="str">
        <f>IF(N22="","",INDEX(am_suivi,N22)&amp;"")</f>
        <v/>
      </c>
      <c r="L22" s="65" t="str">
        <f>IF(K22="En retard",p_today-I22,"")</f>
        <v/>
      </c>
      <c r="M22" s="69" t="str">
        <f>IF(N22="","",IF(ISNUMBER(INDEX(am_cost,N22)),INDEX(am_cost,N22),""))</f>
        <v/>
      </c>
      <c r="N22" s="66" t="str">
        <f>IFERROR(MATCH(SMALL(am_plankey,16),am_plankey,0),"")</f>
        <v/>
      </c>
    </row>
    <row r="23" ht="30" customHeight="1">
      <c r="A23" s="65" t="str">
        <f>IF(N23="","",17)</f>
        <v/>
      </c>
      <c r="B23" s="66" t="str">
        <f>IF(N23="","",INDEX(am_num,N23)&amp;"")</f>
        <v/>
      </c>
      <c r="C23" s="67" t="str">
        <f>IF(N23="","",INDEX(am_step,N23)&amp;"")</f>
        <v/>
      </c>
      <c r="D23" s="67" t="str">
        <f>IF(N23="","",INDEX(am_mode,N23)&amp;"")</f>
        <v/>
      </c>
      <c r="E23" s="65" t="str">
        <f>IF(N23="","",INDEX(am_ipr,N23))</f>
        <v/>
      </c>
      <c r="F23" s="65" t="str">
        <f>IF(N23="","",INDEX(am_crit,N23)&amp;"")</f>
        <v/>
      </c>
      <c r="G23" s="67" t="str">
        <f>IF(N23="","",INDEX(am_action,N23)&amp;"")</f>
        <v/>
      </c>
      <c r="H23" s="67" t="str">
        <f>IF(N23="","",INDEX(am_who,N23)&amp;"")</f>
        <v/>
      </c>
      <c r="I23" s="68" t="str">
        <f>IF(N23="","",IF(N(INDEX(am_due,N23))&gt;0,INDEX(am_due,N23),""))</f>
        <v/>
      </c>
      <c r="J23" s="65" t="str">
        <f>IF(N23="","",INDEX(am_status,N23)&amp;"")</f>
        <v/>
      </c>
      <c r="K23" s="65" t="str">
        <f>IF(N23="","",INDEX(am_suivi,N23)&amp;"")</f>
        <v/>
      </c>
      <c r="L23" s="65" t="str">
        <f>IF(K23="En retard",p_today-I23,"")</f>
        <v/>
      </c>
      <c r="M23" s="69" t="str">
        <f>IF(N23="","",IF(ISNUMBER(INDEX(am_cost,N23)),INDEX(am_cost,N23),""))</f>
        <v/>
      </c>
      <c r="N23" s="66" t="str">
        <f>IFERROR(MATCH(SMALL(am_plankey,17),am_plankey,0),"")</f>
        <v/>
      </c>
    </row>
    <row r="24" ht="30" customHeight="1">
      <c r="A24" s="65" t="str">
        <f>IF(N24="","",18)</f>
        <v/>
      </c>
      <c r="B24" s="66" t="str">
        <f>IF(N24="","",INDEX(am_num,N24)&amp;"")</f>
        <v/>
      </c>
      <c r="C24" s="67" t="str">
        <f>IF(N24="","",INDEX(am_step,N24)&amp;"")</f>
        <v/>
      </c>
      <c r="D24" s="67" t="str">
        <f>IF(N24="","",INDEX(am_mode,N24)&amp;"")</f>
        <v/>
      </c>
      <c r="E24" s="65" t="str">
        <f>IF(N24="","",INDEX(am_ipr,N24))</f>
        <v/>
      </c>
      <c r="F24" s="65" t="str">
        <f>IF(N24="","",INDEX(am_crit,N24)&amp;"")</f>
        <v/>
      </c>
      <c r="G24" s="67" t="str">
        <f>IF(N24="","",INDEX(am_action,N24)&amp;"")</f>
        <v/>
      </c>
      <c r="H24" s="67" t="str">
        <f>IF(N24="","",INDEX(am_who,N24)&amp;"")</f>
        <v/>
      </c>
      <c r="I24" s="68" t="str">
        <f>IF(N24="","",IF(N(INDEX(am_due,N24))&gt;0,INDEX(am_due,N24),""))</f>
        <v/>
      </c>
      <c r="J24" s="65" t="str">
        <f>IF(N24="","",INDEX(am_status,N24)&amp;"")</f>
        <v/>
      </c>
      <c r="K24" s="65" t="str">
        <f>IF(N24="","",INDEX(am_suivi,N24)&amp;"")</f>
        <v/>
      </c>
      <c r="L24" s="65" t="str">
        <f>IF(K24="En retard",p_today-I24,"")</f>
        <v/>
      </c>
      <c r="M24" s="69" t="str">
        <f>IF(N24="","",IF(ISNUMBER(INDEX(am_cost,N24)),INDEX(am_cost,N24),""))</f>
        <v/>
      </c>
      <c r="N24" s="66" t="str">
        <f>IFERROR(MATCH(SMALL(am_plankey,18),am_plankey,0),"")</f>
        <v/>
      </c>
    </row>
    <row r="25" ht="30" customHeight="1">
      <c r="A25" s="65" t="str">
        <f>IF(N25="","",19)</f>
        <v/>
      </c>
      <c r="B25" s="66" t="str">
        <f>IF(N25="","",INDEX(am_num,N25)&amp;"")</f>
        <v/>
      </c>
      <c r="C25" s="67" t="str">
        <f>IF(N25="","",INDEX(am_step,N25)&amp;"")</f>
        <v/>
      </c>
      <c r="D25" s="67" t="str">
        <f>IF(N25="","",INDEX(am_mode,N25)&amp;"")</f>
        <v/>
      </c>
      <c r="E25" s="65" t="str">
        <f>IF(N25="","",INDEX(am_ipr,N25))</f>
        <v/>
      </c>
      <c r="F25" s="65" t="str">
        <f>IF(N25="","",INDEX(am_crit,N25)&amp;"")</f>
        <v/>
      </c>
      <c r="G25" s="67" t="str">
        <f>IF(N25="","",INDEX(am_action,N25)&amp;"")</f>
        <v/>
      </c>
      <c r="H25" s="67" t="str">
        <f>IF(N25="","",INDEX(am_who,N25)&amp;"")</f>
        <v/>
      </c>
      <c r="I25" s="68" t="str">
        <f>IF(N25="","",IF(N(INDEX(am_due,N25))&gt;0,INDEX(am_due,N25),""))</f>
        <v/>
      </c>
      <c r="J25" s="65" t="str">
        <f>IF(N25="","",INDEX(am_status,N25)&amp;"")</f>
        <v/>
      </c>
      <c r="K25" s="65" t="str">
        <f>IF(N25="","",INDEX(am_suivi,N25)&amp;"")</f>
        <v/>
      </c>
      <c r="L25" s="65" t="str">
        <f>IF(K25="En retard",p_today-I25,"")</f>
        <v/>
      </c>
      <c r="M25" s="69" t="str">
        <f>IF(N25="","",IF(ISNUMBER(INDEX(am_cost,N25)),INDEX(am_cost,N25),""))</f>
        <v/>
      </c>
      <c r="N25" s="66" t="str">
        <f>IFERROR(MATCH(SMALL(am_plankey,19),am_plankey,0),"")</f>
        <v/>
      </c>
    </row>
    <row r="26" ht="30" customHeight="1">
      <c r="A26" s="65" t="str">
        <f>IF(N26="","",20)</f>
        <v/>
      </c>
      <c r="B26" s="66" t="str">
        <f>IF(N26="","",INDEX(am_num,N26)&amp;"")</f>
        <v/>
      </c>
      <c r="C26" s="67" t="str">
        <f>IF(N26="","",INDEX(am_step,N26)&amp;"")</f>
        <v/>
      </c>
      <c r="D26" s="67" t="str">
        <f>IF(N26="","",INDEX(am_mode,N26)&amp;"")</f>
        <v/>
      </c>
      <c r="E26" s="65" t="str">
        <f>IF(N26="","",INDEX(am_ipr,N26))</f>
        <v/>
      </c>
      <c r="F26" s="65" t="str">
        <f>IF(N26="","",INDEX(am_crit,N26)&amp;"")</f>
        <v/>
      </c>
      <c r="G26" s="67" t="str">
        <f>IF(N26="","",INDEX(am_action,N26)&amp;"")</f>
        <v/>
      </c>
      <c r="H26" s="67" t="str">
        <f>IF(N26="","",INDEX(am_who,N26)&amp;"")</f>
        <v/>
      </c>
      <c r="I26" s="68" t="str">
        <f>IF(N26="","",IF(N(INDEX(am_due,N26))&gt;0,INDEX(am_due,N26),""))</f>
        <v/>
      </c>
      <c r="J26" s="65" t="str">
        <f>IF(N26="","",INDEX(am_status,N26)&amp;"")</f>
        <v/>
      </c>
      <c r="K26" s="65" t="str">
        <f>IF(N26="","",INDEX(am_suivi,N26)&amp;"")</f>
        <v/>
      </c>
      <c r="L26" s="65" t="str">
        <f>IF(K26="En retard",p_today-I26,"")</f>
        <v/>
      </c>
      <c r="M26" s="69" t="str">
        <f>IF(N26="","",IF(ISNUMBER(INDEX(am_cost,N26)),INDEX(am_cost,N26),""))</f>
        <v/>
      </c>
      <c r="N26" s="66" t="str">
        <f>IFERROR(MATCH(SMALL(am_plankey,20),am_plankey,0),"")</f>
        <v/>
      </c>
    </row>
    <row r="27" ht="30" customHeight="1">
      <c r="A27" s="65" t="str">
        <f>IF(N27="","",21)</f>
        <v/>
      </c>
      <c r="B27" s="66" t="str">
        <f>IF(N27="","",INDEX(am_num,N27)&amp;"")</f>
        <v/>
      </c>
      <c r="C27" s="67" t="str">
        <f>IF(N27="","",INDEX(am_step,N27)&amp;"")</f>
        <v/>
      </c>
      <c r="D27" s="67" t="str">
        <f>IF(N27="","",INDEX(am_mode,N27)&amp;"")</f>
        <v/>
      </c>
      <c r="E27" s="65" t="str">
        <f>IF(N27="","",INDEX(am_ipr,N27))</f>
        <v/>
      </c>
      <c r="F27" s="65" t="str">
        <f>IF(N27="","",INDEX(am_crit,N27)&amp;"")</f>
        <v/>
      </c>
      <c r="G27" s="67" t="str">
        <f>IF(N27="","",INDEX(am_action,N27)&amp;"")</f>
        <v/>
      </c>
      <c r="H27" s="67" t="str">
        <f>IF(N27="","",INDEX(am_who,N27)&amp;"")</f>
        <v/>
      </c>
      <c r="I27" s="68" t="str">
        <f>IF(N27="","",IF(N(INDEX(am_due,N27))&gt;0,INDEX(am_due,N27),""))</f>
        <v/>
      </c>
      <c r="J27" s="65" t="str">
        <f>IF(N27="","",INDEX(am_status,N27)&amp;"")</f>
        <v/>
      </c>
      <c r="K27" s="65" t="str">
        <f>IF(N27="","",INDEX(am_suivi,N27)&amp;"")</f>
        <v/>
      </c>
      <c r="L27" s="65" t="str">
        <f>IF(K27="En retard",p_today-I27,"")</f>
        <v/>
      </c>
      <c r="M27" s="69" t="str">
        <f>IF(N27="","",IF(ISNUMBER(INDEX(am_cost,N27)),INDEX(am_cost,N27),""))</f>
        <v/>
      </c>
      <c r="N27" s="66" t="str">
        <f>IFERROR(MATCH(SMALL(am_plankey,21),am_plankey,0),"")</f>
        <v/>
      </c>
    </row>
    <row r="28" ht="30" customHeight="1">
      <c r="A28" s="65" t="str">
        <f>IF(N28="","",22)</f>
        <v/>
      </c>
      <c r="B28" s="66" t="str">
        <f>IF(N28="","",INDEX(am_num,N28)&amp;"")</f>
        <v/>
      </c>
      <c r="C28" s="67" t="str">
        <f>IF(N28="","",INDEX(am_step,N28)&amp;"")</f>
        <v/>
      </c>
      <c r="D28" s="67" t="str">
        <f>IF(N28="","",INDEX(am_mode,N28)&amp;"")</f>
        <v/>
      </c>
      <c r="E28" s="65" t="str">
        <f>IF(N28="","",INDEX(am_ipr,N28))</f>
        <v/>
      </c>
      <c r="F28" s="65" t="str">
        <f>IF(N28="","",INDEX(am_crit,N28)&amp;"")</f>
        <v/>
      </c>
      <c r="G28" s="67" t="str">
        <f>IF(N28="","",INDEX(am_action,N28)&amp;"")</f>
        <v/>
      </c>
      <c r="H28" s="67" t="str">
        <f>IF(N28="","",INDEX(am_who,N28)&amp;"")</f>
        <v/>
      </c>
      <c r="I28" s="68" t="str">
        <f>IF(N28="","",IF(N(INDEX(am_due,N28))&gt;0,INDEX(am_due,N28),""))</f>
        <v/>
      </c>
      <c r="J28" s="65" t="str">
        <f>IF(N28="","",INDEX(am_status,N28)&amp;"")</f>
        <v/>
      </c>
      <c r="K28" s="65" t="str">
        <f>IF(N28="","",INDEX(am_suivi,N28)&amp;"")</f>
        <v/>
      </c>
      <c r="L28" s="65" t="str">
        <f>IF(K28="En retard",p_today-I28,"")</f>
        <v/>
      </c>
      <c r="M28" s="69" t="str">
        <f>IF(N28="","",IF(ISNUMBER(INDEX(am_cost,N28)),INDEX(am_cost,N28),""))</f>
        <v/>
      </c>
      <c r="N28" s="66" t="str">
        <f>IFERROR(MATCH(SMALL(am_plankey,22),am_plankey,0),"")</f>
        <v/>
      </c>
    </row>
    <row r="29" ht="30" customHeight="1">
      <c r="A29" s="65" t="str">
        <f>IF(N29="","",23)</f>
        <v/>
      </c>
      <c r="B29" s="66" t="str">
        <f>IF(N29="","",INDEX(am_num,N29)&amp;"")</f>
        <v/>
      </c>
      <c r="C29" s="67" t="str">
        <f>IF(N29="","",INDEX(am_step,N29)&amp;"")</f>
        <v/>
      </c>
      <c r="D29" s="67" t="str">
        <f>IF(N29="","",INDEX(am_mode,N29)&amp;"")</f>
        <v/>
      </c>
      <c r="E29" s="65" t="str">
        <f>IF(N29="","",INDEX(am_ipr,N29))</f>
        <v/>
      </c>
      <c r="F29" s="65" t="str">
        <f>IF(N29="","",INDEX(am_crit,N29)&amp;"")</f>
        <v/>
      </c>
      <c r="G29" s="67" t="str">
        <f>IF(N29="","",INDEX(am_action,N29)&amp;"")</f>
        <v/>
      </c>
      <c r="H29" s="67" t="str">
        <f>IF(N29="","",INDEX(am_who,N29)&amp;"")</f>
        <v/>
      </c>
      <c r="I29" s="68" t="str">
        <f>IF(N29="","",IF(N(INDEX(am_due,N29))&gt;0,INDEX(am_due,N29),""))</f>
        <v/>
      </c>
      <c r="J29" s="65" t="str">
        <f>IF(N29="","",INDEX(am_status,N29)&amp;"")</f>
        <v/>
      </c>
      <c r="K29" s="65" t="str">
        <f>IF(N29="","",INDEX(am_suivi,N29)&amp;"")</f>
        <v/>
      </c>
      <c r="L29" s="65" t="str">
        <f>IF(K29="En retard",p_today-I29,"")</f>
        <v/>
      </c>
      <c r="M29" s="69" t="str">
        <f>IF(N29="","",IF(ISNUMBER(INDEX(am_cost,N29)),INDEX(am_cost,N29),""))</f>
        <v/>
      </c>
      <c r="N29" s="66" t="str">
        <f>IFERROR(MATCH(SMALL(am_plankey,23),am_plankey,0),"")</f>
        <v/>
      </c>
    </row>
    <row r="30" ht="30" customHeight="1">
      <c r="A30" s="65" t="str">
        <f>IF(N30="","",24)</f>
        <v/>
      </c>
      <c r="B30" s="66" t="str">
        <f>IF(N30="","",INDEX(am_num,N30)&amp;"")</f>
        <v/>
      </c>
      <c r="C30" s="67" t="str">
        <f>IF(N30="","",INDEX(am_step,N30)&amp;"")</f>
        <v/>
      </c>
      <c r="D30" s="67" t="str">
        <f>IF(N30="","",INDEX(am_mode,N30)&amp;"")</f>
        <v/>
      </c>
      <c r="E30" s="65" t="str">
        <f>IF(N30="","",INDEX(am_ipr,N30))</f>
        <v/>
      </c>
      <c r="F30" s="65" t="str">
        <f>IF(N30="","",INDEX(am_crit,N30)&amp;"")</f>
        <v/>
      </c>
      <c r="G30" s="67" t="str">
        <f>IF(N30="","",INDEX(am_action,N30)&amp;"")</f>
        <v/>
      </c>
      <c r="H30" s="67" t="str">
        <f>IF(N30="","",INDEX(am_who,N30)&amp;"")</f>
        <v/>
      </c>
      <c r="I30" s="68" t="str">
        <f>IF(N30="","",IF(N(INDEX(am_due,N30))&gt;0,INDEX(am_due,N30),""))</f>
        <v/>
      </c>
      <c r="J30" s="65" t="str">
        <f>IF(N30="","",INDEX(am_status,N30)&amp;"")</f>
        <v/>
      </c>
      <c r="K30" s="65" t="str">
        <f>IF(N30="","",INDEX(am_suivi,N30)&amp;"")</f>
        <v/>
      </c>
      <c r="L30" s="65" t="str">
        <f>IF(K30="En retard",p_today-I30,"")</f>
        <v/>
      </c>
      <c r="M30" s="69" t="str">
        <f>IF(N30="","",IF(ISNUMBER(INDEX(am_cost,N30)),INDEX(am_cost,N30),""))</f>
        <v/>
      </c>
      <c r="N30" s="66" t="str">
        <f>IFERROR(MATCH(SMALL(am_plankey,24),am_plankey,0),"")</f>
        <v/>
      </c>
    </row>
    <row r="31" ht="30" customHeight="1">
      <c r="A31" s="65" t="str">
        <f>IF(N31="","",25)</f>
        <v/>
      </c>
      <c r="B31" s="66" t="str">
        <f>IF(N31="","",INDEX(am_num,N31)&amp;"")</f>
        <v/>
      </c>
      <c r="C31" s="67" t="str">
        <f>IF(N31="","",INDEX(am_step,N31)&amp;"")</f>
        <v/>
      </c>
      <c r="D31" s="67" t="str">
        <f>IF(N31="","",INDEX(am_mode,N31)&amp;"")</f>
        <v/>
      </c>
      <c r="E31" s="65" t="str">
        <f>IF(N31="","",INDEX(am_ipr,N31))</f>
        <v/>
      </c>
      <c r="F31" s="65" t="str">
        <f>IF(N31="","",INDEX(am_crit,N31)&amp;"")</f>
        <v/>
      </c>
      <c r="G31" s="67" t="str">
        <f>IF(N31="","",INDEX(am_action,N31)&amp;"")</f>
        <v/>
      </c>
      <c r="H31" s="67" t="str">
        <f>IF(N31="","",INDEX(am_who,N31)&amp;"")</f>
        <v/>
      </c>
      <c r="I31" s="68" t="str">
        <f>IF(N31="","",IF(N(INDEX(am_due,N31))&gt;0,INDEX(am_due,N31),""))</f>
        <v/>
      </c>
      <c r="J31" s="65" t="str">
        <f>IF(N31="","",INDEX(am_status,N31)&amp;"")</f>
        <v/>
      </c>
      <c r="K31" s="65" t="str">
        <f>IF(N31="","",INDEX(am_suivi,N31)&amp;"")</f>
        <v/>
      </c>
      <c r="L31" s="65" t="str">
        <f>IF(K31="En retard",p_today-I31,"")</f>
        <v/>
      </c>
      <c r="M31" s="69" t="str">
        <f>IF(N31="","",IF(ISNUMBER(INDEX(am_cost,N31)),INDEX(am_cost,N31),""))</f>
        <v/>
      </c>
      <c r="N31" s="66" t="str">
        <f>IFERROR(MATCH(SMALL(am_plankey,25),am_plankey,0),"")</f>
        <v/>
      </c>
    </row>
    <row r="32" ht="30" customHeight="1">
      <c r="A32" s="65" t="str">
        <f>IF(N32="","",26)</f>
        <v/>
      </c>
      <c r="B32" s="66" t="str">
        <f>IF(N32="","",INDEX(am_num,N32)&amp;"")</f>
        <v/>
      </c>
      <c r="C32" s="67" t="str">
        <f>IF(N32="","",INDEX(am_step,N32)&amp;"")</f>
        <v/>
      </c>
      <c r="D32" s="67" t="str">
        <f>IF(N32="","",INDEX(am_mode,N32)&amp;"")</f>
        <v/>
      </c>
      <c r="E32" s="65" t="str">
        <f>IF(N32="","",INDEX(am_ipr,N32))</f>
        <v/>
      </c>
      <c r="F32" s="65" t="str">
        <f>IF(N32="","",INDEX(am_crit,N32)&amp;"")</f>
        <v/>
      </c>
      <c r="G32" s="67" t="str">
        <f>IF(N32="","",INDEX(am_action,N32)&amp;"")</f>
        <v/>
      </c>
      <c r="H32" s="67" t="str">
        <f>IF(N32="","",INDEX(am_who,N32)&amp;"")</f>
        <v/>
      </c>
      <c r="I32" s="68" t="str">
        <f>IF(N32="","",IF(N(INDEX(am_due,N32))&gt;0,INDEX(am_due,N32),""))</f>
        <v/>
      </c>
      <c r="J32" s="65" t="str">
        <f>IF(N32="","",INDEX(am_status,N32)&amp;"")</f>
        <v/>
      </c>
      <c r="K32" s="65" t="str">
        <f>IF(N32="","",INDEX(am_suivi,N32)&amp;"")</f>
        <v/>
      </c>
      <c r="L32" s="65" t="str">
        <f>IF(K32="En retard",p_today-I32,"")</f>
        <v/>
      </c>
      <c r="M32" s="69" t="str">
        <f>IF(N32="","",IF(ISNUMBER(INDEX(am_cost,N32)),INDEX(am_cost,N32),""))</f>
        <v/>
      </c>
      <c r="N32" s="66" t="str">
        <f>IFERROR(MATCH(SMALL(am_plankey,26),am_plankey,0),"")</f>
        <v/>
      </c>
    </row>
    <row r="33" ht="30" customHeight="1">
      <c r="A33" s="65" t="str">
        <f>IF(N33="","",27)</f>
        <v/>
      </c>
      <c r="B33" s="66" t="str">
        <f>IF(N33="","",INDEX(am_num,N33)&amp;"")</f>
        <v/>
      </c>
      <c r="C33" s="67" t="str">
        <f>IF(N33="","",INDEX(am_step,N33)&amp;"")</f>
        <v/>
      </c>
      <c r="D33" s="67" t="str">
        <f>IF(N33="","",INDEX(am_mode,N33)&amp;"")</f>
        <v/>
      </c>
      <c r="E33" s="65" t="str">
        <f>IF(N33="","",INDEX(am_ipr,N33))</f>
        <v/>
      </c>
      <c r="F33" s="65" t="str">
        <f>IF(N33="","",INDEX(am_crit,N33)&amp;"")</f>
        <v/>
      </c>
      <c r="G33" s="67" t="str">
        <f>IF(N33="","",INDEX(am_action,N33)&amp;"")</f>
        <v/>
      </c>
      <c r="H33" s="67" t="str">
        <f>IF(N33="","",INDEX(am_who,N33)&amp;"")</f>
        <v/>
      </c>
      <c r="I33" s="68" t="str">
        <f>IF(N33="","",IF(N(INDEX(am_due,N33))&gt;0,INDEX(am_due,N33),""))</f>
        <v/>
      </c>
      <c r="J33" s="65" t="str">
        <f>IF(N33="","",INDEX(am_status,N33)&amp;"")</f>
        <v/>
      </c>
      <c r="K33" s="65" t="str">
        <f>IF(N33="","",INDEX(am_suivi,N33)&amp;"")</f>
        <v/>
      </c>
      <c r="L33" s="65" t="str">
        <f>IF(K33="En retard",p_today-I33,"")</f>
        <v/>
      </c>
      <c r="M33" s="69" t="str">
        <f>IF(N33="","",IF(ISNUMBER(INDEX(am_cost,N33)),INDEX(am_cost,N33),""))</f>
        <v/>
      </c>
      <c r="N33" s="66" t="str">
        <f>IFERROR(MATCH(SMALL(am_plankey,27),am_plankey,0),"")</f>
        <v/>
      </c>
    </row>
    <row r="34" ht="30" customHeight="1">
      <c r="A34" s="65" t="str">
        <f>IF(N34="","",28)</f>
        <v/>
      </c>
      <c r="B34" s="66" t="str">
        <f>IF(N34="","",INDEX(am_num,N34)&amp;"")</f>
        <v/>
      </c>
      <c r="C34" s="67" t="str">
        <f>IF(N34="","",INDEX(am_step,N34)&amp;"")</f>
        <v/>
      </c>
      <c r="D34" s="67" t="str">
        <f>IF(N34="","",INDEX(am_mode,N34)&amp;"")</f>
        <v/>
      </c>
      <c r="E34" s="65" t="str">
        <f>IF(N34="","",INDEX(am_ipr,N34))</f>
        <v/>
      </c>
      <c r="F34" s="65" t="str">
        <f>IF(N34="","",INDEX(am_crit,N34)&amp;"")</f>
        <v/>
      </c>
      <c r="G34" s="67" t="str">
        <f>IF(N34="","",INDEX(am_action,N34)&amp;"")</f>
        <v/>
      </c>
      <c r="H34" s="67" t="str">
        <f>IF(N34="","",INDEX(am_who,N34)&amp;"")</f>
        <v/>
      </c>
      <c r="I34" s="68" t="str">
        <f>IF(N34="","",IF(N(INDEX(am_due,N34))&gt;0,INDEX(am_due,N34),""))</f>
        <v/>
      </c>
      <c r="J34" s="65" t="str">
        <f>IF(N34="","",INDEX(am_status,N34)&amp;"")</f>
        <v/>
      </c>
      <c r="K34" s="65" t="str">
        <f>IF(N34="","",INDEX(am_suivi,N34)&amp;"")</f>
        <v/>
      </c>
      <c r="L34" s="65" t="str">
        <f>IF(K34="En retard",p_today-I34,"")</f>
        <v/>
      </c>
      <c r="M34" s="69" t="str">
        <f>IF(N34="","",IF(ISNUMBER(INDEX(am_cost,N34)),INDEX(am_cost,N34),""))</f>
        <v/>
      </c>
      <c r="N34" s="66" t="str">
        <f>IFERROR(MATCH(SMALL(am_plankey,28),am_plankey,0),"")</f>
        <v/>
      </c>
    </row>
    <row r="35" ht="30" customHeight="1">
      <c r="A35" s="65" t="str">
        <f>IF(N35="","",29)</f>
        <v/>
      </c>
      <c r="B35" s="66" t="str">
        <f>IF(N35="","",INDEX(am_num,N35)&amp;"")</f>
        <v/>
      </c>
      <c r="C35" s="67" t="str">
        <f>IF(N35="","",INDEX(am_step,N35)&amp;"")</f>
        <v/>
      </c>
      <c r="D35" s="67" t="str">
        <f>IF(N35="","",INDEX(am_mode,N35)&amp;"")</f>
        <v/>
      </c>
      <c r="E35" s="65" t="str">
        <f>IF(N35="","",INDEX(am_ipr,N35))</f>
        <v/>
      </c>
      <c r="F35" s="65" t="str">
        <f>IF(N35="","",INDEX(am_crit,N35)&amp;"")</f>
        <v/>
      </c>
      <c r="G35" s="67" t="str">
        <f>IF(N35="","",INDEX(am_action,N35)&amp;"")</f>
        <v/>
      </c>
      <c r="H35" s="67" t="str">
        <f>IF(N35="","",INDEX(am_who,N35)&amp;"")</f>
        <v/>
      </c>
      <c r="I35" s="68" t="str">
        <f>IF(N35="","",IF(N(INDEX(am_due,N35))&gt;0,INDEX(am_due,N35),""))</f>
        <v/>
      </c>
      <c r="J35" s="65" t="str">
        <f>IF(N35="","",INDEX(am_status,N35)&amp;"")</f>
        <v/>
      </c>
      <c r="K35" s="65" t="str">
        <f>IF(N35="","",INDEX(am_suivi,N35)&amp;"")</f>
        <v/>
      </c>
      <c r="L35" s="65" t="str">
        <f>IF(K35="En retard",p_today-I35,"")</f>
        <v/>
      </c>
      <c r="M35" s="69" t="str">
        <f>IF(N35="","",IF(ISNUMBER(INDEX(am_cost,N35)),INDEX(am_cost,N35),""))</f>
        <v/>
      </c>
      <c r="N35" s="66" t="str">
        <f>IFERROR(MATCH(SMALL(am_plankey,29),am_plankey,0),"")</f>
        <v/>
      </c>
    </row>
    <row r="36" ht="30" customHeight="1">
      <c r="A36" s="65" t="str">
        <f>IF(N36="","",30)</f>
        <v/>
      </c>
      <c r="B36" s="66" t="str">
        <f>IF(N36="","",INDEX(am_num,N36)&amp;"")</f>
        <v/>
      </c>
      <c r="C36" s="67" t="str">
        <f>IF(N36="","",INDEX(am_step,N36)&amp;"")</f>
        <v/>
      </c>
      <c r="D36" s="67" t="str">
        <f>IF(N36="","",INDEX(am_mode,N36)&amp;"")</f>
        <v/>
      </c>
      <c r="E36" s="65" t="str">
        <f>IF(N36="","",INDEX(am_ipr,N36))</f>
        <v/>
      </c>
      <c r="F36" s="65" t="str">
        <f>IF(N36="","",INDEX(am_crit,N36)&amp;"")</f>
        <v/>
      </c>
      <c r="G36" s="67" t="str">
        <f>IF(N36="","",INDEX(am_action,N36)&amp;"")</f>
        <v/>
      </c>
      <c r="H36" s="67" t="str">
        <f>IF(N36="","",INDEX(am_who,N36)&amp;"")</f>
        <v/>
      </c>
      <c r="I36" s="68" t="str">
        <f>IF(N36="","",IF(N(INDEX(am_due,N36))&gt;0,INDEX(am_due,N36),""))</f>
        <v/>
      </c>
      <c r="J36" s="65" t="str">
        <f>IF(N36="","",INDEX(am_status,N36)&amp;"")</f>
        <v/>
      </c>
      <c r="K36" s="65" t="str">
        <f>IF(N36="","",INDEX(am_suivi,N36)&amp;"")</f>
        <v/>
      </c>
      <c r="L36" s="65" t="str">
        <f>IF(K36="En retard",p_today-I36,"")</f>
        <v/>
      </c>
      <c r="M36" s="69" t="str">
        <f>IF(N36="","",IF(ISNUMBER(INDEX(am_cost,N36)),INDEX(am_cost,N36),""))</f>
        <v/>
      </c>
      <c r="N36" s="66" t="str">
        <f>IFERROR(MATCH(SMALL(am_plankey,30),am_plankey,0),"")</f>
        <v/>
      </c>
    </row>
    <row r="37" ht="30" customHeight="1">
      <c r="A37" s="65" t="str">
        <f>IF(N37="","",31)</f>
        <v/>
      </c>
      <c r="B37" s="66" t="str">
        <f>IF(N37="","",INDEX(am_num,N37)&amp;"")</f>
        <v/>
      </c>
      <c r="C37" s="67" t="str">
        <f>IF(N37="","",INDEX(am_step,N37)&amp;"")</f>
        <v/>
      </c>
      <c r="D37" s="67" t="str">
        <f>IF(N37="","",INDEX(am_mode,N37)&amp;"")</f>
        <v/>
      </c>
      <c r="E37" s="65" t="str">
        <f>IF(N37="","",INDEX(am_ipr,N37))</f>
        <v/>
      </c>
      <c r="F37" s="65" t="str">
        <f>IF(N37="","",INDEX(am_crit,N37)&amp;"")</f>
        <v/>
      </c>
      <c r="G37" s="67" t="str">
        <f>IF(N37="","",INDEX(am_action,N37)&amp;"")</f>
        <v/>
      </c>
      <c r="H37" s="67" t="str">
        <f>IF(N37="","",INDEX(am_who,N37)&amp;"")</f>
        <v/>
      </c>
      <c r="I37" s="68" t="str">
        <f>IF(N37="","",IF(N(INDEX(am_due,N37))&gt;0,INDEX(am_due,N37),""))</f>
        <v/>
      </c>
      <c r="J37" s="65" t="str">
        <f>IF(N37="","",INDEX(am_status,N37)&amp;"")</f>
        <v/>
      </c>
      <c r="K37" s="65" t="str">
        <f>IF(N37="","",INDEX(am_suivi,N37)&amp;"")</f>
        <v/>
      </c>
      <c r="L37" s="65" t="str">
        <f>IF(K37="En retard",p_today-I37,"")</f>
        <v/>
      </c>
      <c r="M37" s="69" t="str">
        <f>IF(N37="","",IF(ISNUMBER(INDEX(am_cost,N37)),INDEX(am_cost,N37),""))</f>
        <v/>
      </c>
      <c r="N37" s="66" t="str">
        <f>IFERROR(MATCH(SMALL(am_plankey,31),am_plankey,0),"")</f>
        <v/>
      </c>
    </row>
    <row r="38" ht="30" customHeight="1">
      <c r="A38" s="65" t="str">
        <f>IF(N38="","",32)</f>
        <v/>
      </c>
      <c r="B38" s="66" t="str">
        <f>IF(N38="","",INDEX(am_num,N38)&amp;"")</f>
        <v/>
      </c>
      <c r="C38" s="67" t="str">
        <f>IF(N38="","",INDEX(am_step,N38)&amp;"")</f>
        <v/>
      </c>
      <c r="D38" s="67" t="str">
        <f>IF(N38="","",INDEX(am_mode,N38)&amp;"")</f>
        <v/>
      </c>
      <c r="E38" s="65" t="str">
        <f>IF(N38="","",INDEX(am_ipr,N38))</f>
        <v/>
      </c>
      <c r="F38" s="65" t="str">
        <f>IF(N38="","",INDEX(am_crit,N38)&amp;"")</f>
        <v/>
      </c>
      <c r="G38" s="67" t="str">
        <f>IF(N38="","",INDEX(am_action,N38)&amp;"")</f>
        <v/>
      </c>
      <c r="H38" s="67" t="str">
        <f>IF(N38="","",INDEX(am_who,N38)&amp;"")</f>
        <v/>
      </c>
      <c r="I38" s="68" t="str">
        <f>IF(N38="","",IF(N(INDEX(am_due,N38))&gt;0,INDEX(am_due,N38),""))</f>
        <v/>
      </c>
      <c r="J38" s="65" t="str">
        <f>IF(N38="","",INDEX(am_status,N38)&amp;"")</f>
        <v/>
      </c>
      <c r="K38" s="65" t="str">
        <f>IF(N38="","",INDEX(am_suivi,N38)&amp;"")</f>
        <v/>
      </c>
      <c r="L38" s="65" t="str">
        <f>IF(K38="En retard",p_today-I38,"")</f>
        <v/>
      </c>
      <c r="M38" s="69" t="str">
        <f>IF(N38="","",IF(ISNUMBER(INDEX(am_cost,N38)),INDEX(am_cost,N38),""))</f>
        <v/>
      </c>
      <c r="N38" s="66" t="str">
        <f>IFERROR(MATCH(SMALL(am_plankey,32),am_plankey,0),"")</f>
        <v/>
      </c>
    </row>
    <row r="39" ht="30" customHeight="1">
      <c r="A39" s="65" t="str">
        <f>IF(N39="","",33)</f>
        <v/>
      </c>
      <c r="B39" s="66" t="str">
        <f>IF(N39="","",INDEX(am_num,N39)&amp;"")</f>
        <v/>
      </c>
      <c r="C39" s="67" t="str">
        <f>IF(N39="","",INDEX(am_step,N39)&amp;"")</f>
        <v/>
      </c>
      <c r="D39" s="67" t="str">
        <f>IF(N39="","",INDEX(am_mode,N39)&amp;"")</f>
        <v/>
      </c>
      <c r="E39" s="65" t="str">
        <f>IF(N39="","",INDEX(am_ipr,N39))</f>
        <v/>
      </c>
      <c r="F39" s="65" t="str">
        <f>IF(N39="","",INDEX(am_crit,N39)&amp;"")</f>
        <v/>
      </c>
      <c r="G39" s="67" t="str">
        <f>IF(N39="","",INDEX(am_action,N39)&amp;"")</f>
        <v/>
      </c>
      <c r="H39" s="67" t="str">
        <f>IF(N39="","",INDEX(am_who,N39)&amp;"")</f>
        <v/>
      </c>
      <c r="I39" s="68" t="str">
        <f>IF(N39="","",IF(N(INDEX(am_due,N39))&gt;0,INDEX(am_due,N39),""))</f>
        <v/>
      </c>
      <c r="J39" s="65" t="str">
        <f>IF(N39="","",INDEX(am_status,N39)&amp;"")</f>
        <v/>
      </c>
      <c r="K39" s="65" t="str">
        <f>IF(N39="","",INDEX(am_suivi,N39)&amp;"")</f>
        <v/>
      </c>
      <c r="L39" s="65" t="str">
        <f>IF(K39="En retard",p_today-I39,"")</f>
        <v/>
      </c>
      <c r="M39" s="69" t="str">
        <f>IF(N39="","",IF(ISNUMBER(INDEX(am_cost,N39)),INDEX(am_cost,N39),""))</f>
        <v/>
      </c>
      <c r="N39" s="66" t="str">
        <f>IFERROR(MATCH(SMALL(am_plankey,33),am_plankey,0),"")</f>
        <v/>
      </c>
    </row>
    <row r="40" ht="30" customHeight="1">
      <c r="A40" s="65" t="str">
        <f>IF(N40="","",34)</f>
        <v/>
      </c>
      <c r="B40" s="66" t="str">
        <f>IF(N40="","",INDEX(am_num,N40)&amp;"")</f>
        <v/>
      </c>
      <c r="C40" s="67" t="str">
        <f>IF(N40="","",INDEX(am_step,N40)&amp;"")</f>
        <v/>
      </c>
      <c r="D40" s="67" t="str">
        <f>IF(N40="","",INDEX(am_mode,N40)&amp;"")</f>
        <v/>
      </c>
      <c r="E40" s="65" t="str">
        <f>IF(N40="","",INDEX(am_ipr,N40))</f>
        <v/>
      </c>
      <c r="F40" s="65" t="str">
        <f>IF(N40="","",INDEX(am_crit,N40)&amp;"")</f>
        <v/>
      </c>
      <c r="G40" s="67" t="str">
        <f>IF(N40="","",INDEX(am_action,N40)&amp;"")</f>
        <v/>
      </c>
      <c r="H40" s="67" t="str">
        <f>IF(N40="","",INDEX(am_who,N40)&amp;"")</f>
        <v/>
      </c>
      <c r="I40" s="68" t="str">
        <f>IF(N40="","",IF(N(INDEX(am_due,N40))&gt;0,INDEX(am_due,N40),""))</f>
        <v/>
      </c>
      <c r="J40" s="65" t="str">
        <f>IF(N40="","",INDEX(am_status,N40)&amp;"")</f>
        <v/>
      </c>
      <c r="K40" s="65" t="str">
        <f>IF(N40="","",INDEX(am_suivi,N40)&amp;"")</f>
        <v/>
      </c>
      <c r="L40" s="65" t="str">
        <f>IF(K40="En retard",p_today-I40,"")</f>
        <v/>
      </c>
      <c r="M40" s="69" t="str">
        <f>IF(N40="","",IF(ISNUMBER(INDEX(am_cost,N40)),INDEX(am_cost,N40),""))</f>
        <v/>
      </c>
      <c r="N40" s="66" t="str">
        <f>IFERROR(MATCH(SMALL(am_plankey,34),am_plankey,0),"")</f>
        <v/>
      </c>
    </row>
    <row r="41" ht="30" customHeight="1">
      <c r="A41" s="65" t="str">
        <f>IF(N41="","",35)</f>
        <v/>
      </c>
      <c r="B41" s="66" t="str">
        <f>IF(N41="","",INDEX(am_num,N41)&amp;"")</f>
        <v/>
      </c>
      <c r="C41" s="67" t="str">
        <f>IF(N41="","",INDEX(am_step,N41)&amp;"")</f>
        <v/>
      </c>
      <c r="D41" s="67" t="str">
        <f>IF(N41="","",INDEX(am_mode,N41)&amp;"")</f>
        <v/>
      </c>
      <c r="E41" s="65" t="str">
        <f>IF(N41="","",INDEX(am_ipr,N41))</f>
        <v/>
      </c>
      <c r="F41" s="65" t="str">
        <f>IF(N41="","",INDEX(am_crit,N41)&amp;"")</f>
        <v/>
      </c>
      <c r="G41" s="67" t="str">
        <f>IF(N41="","",INDEX(am_action,N41)&amp;"")</f>
        <v/>
      </c>
      <c r="H41" s="67" t="str">
        <f>IF(N41="","",INDEX(am_who,N41)&amp;"")</f>
        <v/>
      </c>
      <c r="I41" s="68" t="str">
        <f>IF(N41="","",IF(N(INDEX(am_due,N41))&gt;0,INDEX(am_due,N41),""))</f>
        <v/>
      </c>
      <c r="J41" s="65" t="str">
        <f>IF(N41="","",INDEX(am_status,N41)&amp;"")</f>
        <v/>
      </c>
      <c r="K41" s="65" t="str">
        <f>IF(N41="","",INDEX(am_suivi,N41)&amp;"")</f>
        <v/>
      </c>
      <c r="L41" s="65" t="str">
        <f>IF(K41="En retard",p_today-I41,"")</f>
        <v/>
      </c>
      <c r="M41" s="69" t="str">
        <f>IF(N41="","",IF(ISNUMBER(INDEX(am_cost,N41)),INDEX(am_cost,N41),""))</f>
        <v/>
      </c>
      <c r="N41" s="66" t="str">
        <f>IFERROR(MATCH(SMALL(am_plankey,35),am_plankey,0),"")</f>
        <v/>
      </c>
    </row>
    <row r="42" ht="30" customHeight="1">
      <c r="A42" s="65" t="str">
        <f>IF(N42="","",36)</f>
        <v/>
      </c>
      <c r="B42" s="66" t="str">
        <f>IF(N42="","",INDEX(am_num,N42)&amp;"")</f>
        <v/>
      </c>
      <c r="C42" s="67" t="str">
        <f>IF(N42="","",INDEX(am_step,N42)&amp;"")</f>
        <v/>
      </c>
      <c r="D42" s="67" t="str">
        <f>IF(N42="","",INDEX(am_mode,N42)&amp;"")</f>
        <v/>
      </c>
      <c r="E42" s="65" t="str">
        <f>IF(N42="","",INDEX(am_ipr,N42))</f>
        <v/>
      </c>
      <c r="F42" s="65" t="str">
        <f>IF(N42="","",INDEX(am_crit,N42)&amp;"")</f>
        <v/>
      </c>
      <c r="G42" s="67" t="str">
        <f>IF(N42="","",INDEX(am_action,N42)&amp;"")</f>
        <v/>
      </c>
      <c r="H42" s="67" t="str">
        <f>IF(N42="","",INDEX(am_who,N42)&amp;"")</f>
        <v/>
      </c>
      <c r="I42" s="68" t="str">
        <f>IF(N42="","",IF(N(INDEX(am_due,N42))&gt;0,INDEX(am_due,N42),""))</f>
        <v/>
      </c>
      <c r="J42" s="65" t="str">
        <f>IF(N42="","",INDEX(am_status,N42)&amp;"")</f>
        <v/>
      </c>
      <c r="K42" s="65" t="str">
        <f>IF(N42="","",INDEX(am_suivi,N42)&amp;"")</f>
        <v/>
      </c>
      <c r="L42" s="65" t="str">
        <f>IF(K42="En retard",p_today-I42,"")</f>
        <v/>
      </c>
      <c r="M42" s="69" t="str">
        <f>IF(N42="","",IF(ISNUMBER(INDEX(am_cost,N42)),INDEX(am_cost,N42),""))</f>
        <v/>
      </c>
      <c r="N42" s="66" t="str">
        <f>IFERROR(MATCH(SMALL(am_plankey,36),am_plankey,0),"")</f>
        <v/>
      </c>
    </row>
    <row r="43" ht="30" customHeight="1">
      <c r="A43" s="65" t="str">
        <f>IF(N43="","",37)</f>
        <v/>
      </c>
      <c r="B43" s="66" t="str">
        <f>IF(N43="","",INDEX(am_num,N43)&amp;"")</f>
        <v/>
      </c>
      <c r="C43" s="67" t="str">
        <f>IF(N43="","",INDEX(am_step,N43)&amp;"")</f>
        <v/>
      </c>
      <c r="D43" s="67" t="str">
        <f>IF(N43="","",INDEX(am_mode,N43)&amp;"")</f>
        <v/>
      </c>
      <c r="E43" s="65" t="str">
        <f>IF(N43="","",INDEX(am_ipr,N43))</f>
        <v/>
      </c>
      <c r="F43" s="65" t="str">
        <f>IF(N43="","",INDEX(am_crit,N43)&amp;"")</f>
        <v/>
      </c>
      <c r="G43" s="67" t="str">
        <f>IF(N43="","",INDEX(am_action,N43)&amp;"")</f>
        <v/>
      </c>
      <c r="H43" s="67" t="str">
        <f>IF(N43="","",INDEX(am_who,N43)&amp;"")</f>
        <v/>
      </c>
      <c r="I43" s="68" t="str">
        <f>IF(N43="","",IF(N(INDEX(am_due,N43))&gt;0,INDEX(am_due,N43),""))</f>
        <v/>
      </c>
      <c r="J43" s="65" t="str">
        <f>IF(N43="","",INDEX(am_status,N43)&amp;"")</f>
        <v/>
      </c>
      <c r="K43" s="65" t="str">
        <f>IF(N43="","",INDEX(am_suivi,N43)&amp;"")</f>
        <v/>
      </c>
      <c r="L43" s="65" t="str">
        <f>IF(K43="En retard",p_today-I43,"")</f>
        <v/>
      </c>
      <c r="M43" s="69" t="str">
        <f>IF(N43="","",IF(ISNUMBER(INDEX(am_cost,N43)),INDEX(am_cost,N43),""))</f>
        <v/>
      </c>
      <c r="N43" s="66" t="str">
        <f>IFERROR(MATCH(SMALL(am_plankey,37),am_plankey,0),"")</f>
        <v/>
      </c>
    </row>
    <row r="44" ht="30" customHeight="1">
      <c r="A44" s="65" t="str">
        <f>IF(N44="","",38)</f>
        <v/>
      </c>
      <c r="B44" s="66" t="str">
        <f>IF(N44="","",INDEX(am_num,N44)&amp;"")</f>
        <v/>
      </c>
      <c r="C44" s="67" t="str">
        <f>IF(N44="","",INDEX(am_step,N44)&amp;"")</f>
        <v/>
      </c>
      <c r="D44" s="67" t="str">
        <f>IF(N44="","",INDEX(am_mode,N44)&amp;"")</f>
        <v/>
      </c>
      <c r="E44" s="65" t="str">
        <f>IF(N44="","",INDEX(am_ipr,N44))</f>
        <v/>
      </c>
      <c r="F44" s="65" t="str">
        <f>IF(N44="","",INDEX(am_crit,N44)&amp;"")</f>
        <v/>
      </c>
      <c r="G44" s="67" t="str">
        <f>IF(N44="","",INDEX(am_action,N44)&amp;"")</f>
        <v/>
      </c>
      <c r="H44" s="67" t="str">
        <f>IF(N44="","",INDEX(am_who,N44)&amp;"")</f>
        <v/>
      </c>
      <c r="I44" s="68" t="str">
        <f>IF(N44="","",IF(N(INDEX(am_due,N44))&gt;0,INDEX(am_due,N44),""))</f>
        <v/>
      </c>
      <c r="J44" s="65" t="str">
        <f>IF(N44="","",INDEX(am_status,N44)&amp;"")</f>
        <v/>
      </c>
      <c r="K44" s="65" t="str">
        <f>IF(N44="","",INDEX(am_suivi,N44)&amp;"")</f>
        <v/>
      </c>
      <c r="L44" s="65" t="str">
        <f>IF(K44="En retard",p_today-I44,"")</f>
        <v/>
      </c>
      <c r="M44" s="69" t="str">
        <f>IF(N44="","",IF(ISNUMBER(INDEX(am_cost,N44)),INDEX(am_cost,N44),""))</f>
        <v/>
      </c>
      <c r="N44" s="66" t="str">
        <f>IFERROR(MATCH(SMALL(am_plankey,38),am_plankey,0),"")</f>
        <v/>
      </c>
    </row>
    <row r="45" ht="30" customHeight="1">
      <c r="A45" s="65" t="str">
        <f>IF(N45="","",39)</f>
        <v/>
      </c>
      <c r="B45" s="66" t="str">
        <f>IF(N45="","",INDEX(am_num,N45)&amp;"")</f>
        <v/>
      </c>
      <c r="C45" s="67" t="str">
        <f>IF(N45="","",INDEX(am_step,N45)&amp;"")</f>
        <v/>
      </c>
      <c r="D45" s="67" t="str">
        <f>IF(N45="","",INDEX(am_mode,N45)&amp;"")</f>
        <v/>
      </c>
      <c r="E45" s="65" t="str">
        <f>IF(N45="","",INDEX(am_ipr,N45))</f>
        <v/>
      </c>
      <c r="F45" s="65" t="str">
        <f>IF(N45="","",INDEX(am_crit,N45)&amp;"")</f>
        <v/>
      </c>
      <c r="G45" s="67" t="str">
        <f>IF(N45="","",INDEX(am_action,N45)&amp;"")</f>
        <v/>
      </c>
      <c r="H45" s="67" t="str">
        <f>IF(N45="","",INDEX(am_who,N45)&amp;"")</f>
        <v/>
      </c>
      <c r="I45" s="68" t="str">
        <f>IF(N45="","",IF(N(INDEX(am_due,N45))&gt;0,INDEX(am_due,N45),""))</f>
        <v/>
      </c>
      <c r="J45" s="65" t="str">
        <f>IF(N45="","",INDEX(am_status,N45)&amp;"")</f>
        <v/>
      </c>
      <c r="K45" s="65" t="str">
        <f>IF(N45="","",INDEX(am_suivi,N45)&amp;"")</f>
        <v/>
      </c>
      <c r="L45" s="65" t="str">
        <f>IF(K45="En retard",p_today-I45,"")</f>
        <v/>
      </c>
      <c r="M45" s="69" t="str">
        <f>IF(N45="","",IF(ISNUMBER(INDEX(am_cost,N45)),INDEX(am_cost,N45),""))</f>
        <v/>
      </c>
      <c r="N45" s="66" t="str">
        <f>IFERROR(MATCH(SMALL(am_plankey,39),am_plankey,0),"")</f>
        <v/>
      </c>
    </row>
    <row r="46" ht="30" customHeight="1">
      <c r="A46" s="65" t="str">
        <f>IF(N46="","",40)</f>
        <v/>
      </c>
      <c r="B46" s="66" t="str">
        <f>IF(N46="","",INDEX(am_num,N46)&amp;"")</f>
        <v/>
      </c>
      <c r="C46" s="67" t="str">
        <f>IF(N46="","",INDEX(am_step,N46)&amp;"")</f>
        <v/>
      </c>
      <c r="D46" s="67" t="str">
        <f>IF(N46="","",INDEX(am_mode,N46)&amp;"")</f>
        <v/>
      </c>
      <c r="E46" s="65" t="str">
        <f>IF(N46="","",INDEX(am_ipr,N46))</f>
        <v/>
      </c>
      <c r="F46" s="65" t="str">
        <f>IF(N46="","",INDEX(am_crit,N46)&amp;"")</f>
        <v/>
      </c>
      <c r="G46" s="67" t="str">
        <f>IF(N46="","",INDEX(am_action,N46)&amp;"")</f>
        <v/>
      </c>
      <c r="H46" s="67" t="str">
        <f>IF(N46="","",INDEX(am_who,N46)&amp;"")</f>
        <v/>
      </c>
      <c r="I46" s="68" t="str">
        <f>IF(N46="","",IF(N(INDEX(am_due,N46))&gt;0,INDEX(am_due,N46),""))</f>
        <v/>
      </c>
      <c r="J46" s="65" t="str">
        <f>IF(N46="","",INDEX(am_status,N46)&amp;"")</f>
        <v/>
      </c>
      <c r="K46" s="65" t="str">
        <f>IF(N46="","",INDEX(am_suivi,N46)&amp;"")</f>
        <v/>
      </c>
      <c r="L46" s="65" t="str">
        <f>IF(K46="En retard",p_today-I46,"")</f>
        <v/>
      </c>
      <c r="M46" s="69" t="str">
        <f>IF(N46="","",IF(ISNUMBER(INDEX(am_cost,N46)),INDEX(am_cost,N46),""))</f>
        <v/>
      </c>
      <c r="N46" s="66" t="str">
        <f>IFERROR(MATCH(SMALL(am_plankey,40),am_plankey,0),"")</f>
        <v/>
      </c>
    </row>
    <row r="47" ht="30" customHeight="1">
      <c r="A47" s="65" t="str">
        <f>IF(N47="","",41)</f>
        <v/>
      </c>
      <c r="B47" s="66" t="str">
        <f>IF(N47="","",INDEX(am_num,N47)&amp;"")</f>
        <v/>
      </c>
      <c r="C47" s="67" t="str">
        <f>IF(N47="","",INDEX(am_step,N47)&amp;"")</f>
        <v/>
      </c>
      <c r="D47" s="67" t="str">
        <f>IF(N47="","",INDEX(am_mode,N47)&amp;"")</f>
        <v/>
      </c>
      <c r="E47" s="65" t="str">
        <f>IF(N47="","",INDEX(am_ipr,N47))</f>
        <v/>
      </c>
      <c r="F47" s="65" t="str">
        <f>IF(N47="","",INDEX(am_crit,N47)&amp;"")</f>
        <v/>
      </c>
      <c r="G47" s="67" t="str">
        <f>IF(N47="","",INDEX(am_action,N47)&amp;"")</f>
        <v/>
      </c>
      <c r="H47" s="67" t="str">
        <f>IF(N47="","",INDEX(am_who,N47)&amp;"")</f>
        <v/>
      </c>
      <c r="I47" s="68" t="str">
        <f>IF(N47="","",IF(N(INDEX(am_due,N47))&gt;0,INDEX(am_due,N47),""))</f>
        <v/>
      </c>
      <c r="J47" s="65" t="str">
        <f>IF(N47="","",INDEX(am_status,N47)&amp;"")</f>
        <v/>
      </c>
      <c r="K47" s="65" t="str">
        <f>IF(N47="","",INDEX(am_suivi,N47)&amp;"")</f>
        <v/>
      </c>
      <c r="L47" s="65" t="str">
        <f>IF(K47="En retard",p_today-I47,"")</f>
        <v/>
      </c>
      <c r="M47" s="69" t="str">
        <f>IF(N47="","",IF(ISNUMBER(INDEX(am_cost,N47)),INDEX(am_cost,N47),""))</f>
        <v/>
      </c>
      <c r="N47" s="66" t="str">
        <f>IFERROR(MATCH(SMALL(am_plankey,41),am_plankey,0),"")</f>
        <v/>
      </c>
    </row>
    <row r="48" ht="30" customHeight="1">
      <c r="A48" s="65" t="str">
        <f>IF(N48="","",42)</f>
        <v/>
      </c>
      <c r="B48" s="66" t="str">
        <f>IF(N48="","",INDEX(am_num,N48)&amp;"")</f>
        <v/>
      </c>
      <c r="C48" s="67" t="str">
        <f>IF(N48="","",INDEX(am_step,N48)&amp;"")</f>
        <v/>
      </c>
      <c r="D48" s="67" t="str">
        <f>IF(N48="","",INDEX(am_mode,N48)&amp;"")</f>
        <v/>
      </c>
      <c r="E48" s="65" t="str">
        <f>IF(N48="","",INDEX(am_ipr,N48))</f>
        <v/>
      </c>
      <c r="F48" s="65" t="str">
        <f>IF(N48="","",INDEX(am_crit,N48)&amp;"")</f>
        <v/>
      </c>
      <c r="G48" s="67" t="str">
        <f>IF(N48="","",INDEX(am_action,N48)&amp;"")</f>
        <v/>
      </c>
      <c r="H48" s="67" t="str">
        <f>IF(N48="","",INDEX(am_who,N48)&amp;"")</f>
        <v/>
      </c>
      <c r="I48" s="68" t="str">
        <f>IF(N48="","",IF(N(INDEX(am_due,N48))&gt;0,INDEX(am_due,N48),""))</f>
        <v/>
      </c>
      <c r="J48" s="65" t="str">
        <f>IF(N48="","",INDEX(am_status,N48)&amp;"")</f>
        <v/>
      </c>
      <c r="K48" s="65" t="str">
        <f>IF(N48="","",INDEX(am_suivi,N48)&amp;"")</f>
        <v/>
      </c>
      <c r="L48" s="65" t="str">
        <f>IF(K48="En retard",p_today-I48,"")</f>
        <v/>
      </c>
      <c r="M48" s="69" t="str">
        <f>IF(N48="","",IF(ISNUMBER(INDEX(am_cost,N48)),INDEX(am_cost,N48),""))</f>
        <v/>
      </c>
      <c r="N48" s="66" t="str">
        <f>IFERROR(MATCH(SMALL(am_plankey,42),am_plankey,0),"")</f>
        <v/>
      </c>
    </row>
    <row r="49" ht="30" customHeight="1">
      <c r="A49" s="65" t="str">
        <f>IF(N49="","",43)</f>
        <v/>
      </c>
      <c r="B49" s="66" t="str">
        <f>IF(N49="","",INDEX(am_num,N49)&amp;"")</f>
        <v/>
      </c>
      <c r="C49" s="67" t="str">
        <f>IF(N49="","",INDEX(am_step,N49)&amp;"")</f>
        <v/>
      </c>
      <c r="D49" s="67" t="str">
        <f>IF(N49="","",INDEX(am_mode,N49)&amp;"")</f>
        <v/>
      </c>
      <c r="E49" s="65" t="str">
        <f>IF(N49="","",INDEX(am_ipr,N49))</f>
        <v/>
      </c>
      <c r="F49" s="65" t="str">
        <f>IF(N49="","",INDEX(am_crit,N49)&amp;"")</f>
        <v/>
      </c>
      <c r="G49" s="67" t="str">
        <f>IF(N49="","",INDEX(am_action,N49)&amp;"")</f>
        <v/>
      </c>
      <c r="H49" s="67" t="str">
        <f>IF(N49="","",INDEX(am_who,N49)&amp;"")</f>
        <v/>
      </c>
      <c r="I49" s="68" t="str">
        <f>IF(N49="","",IF(N(INDEX(am_due,N49))&gt;0,INDEX(am_due,N49),""))</f>
        <v/>
      </c>
      <c r="J49" s="65" t="str">
        <f>IF(N49="","",INDEX(am_status,N49)&amp;"")</f>
        <v/>
      </c>
      <c r="K49" s="65" t="str">
        <f>IF(N49="","",INDEX(am_suivi,N49)&amp;"")</f>
        <v/>
      </c>
      <c r="L49" s="65" t="str">
        <f>IF(K49="En retard",p_today-I49,"")</f>
        <v/>
      </c>
      <c r="M49" s="69" t="str">
        <f>IF(N49="","",IF(ISNUMBER(INDEX(am_cost,N49)),INDEX(am_cost,N49),""))</f>
        <v/>
      </c>
      <c r="N49" s="66" t="str">
        <f>IFERROR(MATCH(SMALL(am_plankey,43),am_plankey,0),"")</f>
        <v/>
      </c>
    </row>
    <row r="50" ht="30" customHeight="1">
      <c r="A50" s="65" t="str">
        <f>IF(N50="","",44)</f>
        <v/>
      </c>
      <c r="B50" s="66" t="str">
        <f>IF(N50="","",INDEX(am_num,N50)&amp;"")</f>
        <v/>
      </c>
      <c r="C50" s="67" t="str">
        <f>IF(N50="","",INDEX(am_step,N50)&amp;"")</f>
        <v/>
      </c>
      <c r="D50" s="67" t="str">
        <f>IF(N50="","",INDEX(am_mode,N50)&amp;"")</f>
        <v/>
      </c>
      <c r="E50" s="65" t="str">
        <f>IF(N50="","",INDEX(am_ipr,N50))</f>
        <v/>
      </c>
      <c r="F50" s="65" t="str">
        <f>IF(N50="","",INDEX(am_crit,N50)&amp;"")</f>
        <v/>
      </c>
      <c r="G50" s="67" t="str">
        <f>IF(N50="","",INDEX(am_action,N50)&amp;"")</f>
        <v/>
      </c>
      <c r="H50" s="67" t="str">
        <f>IF(N50="","",INDEX(am_who,N50)&amp;"")</f>
        <v/>
      </c>
      <c r="I50" s="68" t="str">
        <f>IF(N50="","",IF(N(INDEX(am_due,N50))&gt;0,INDEX(am_due,N50),""))</f>
        <v/>
      </c>
      <c r="J50" s="65" t="str">
        <f>IF(N50="","",INDEX(am_status,N50)&amp;"")</f>
        <v/>
      </c>
      <c r="K50" s="65" t="str">
        <f>IF(N50="","",INDEX(am_suivi,N50)&amp;"")</f>
        <v/>
      </c>
      <c r="L50" s="65" t="str">
        <f>IF(K50="En retard",p_today-I50,"")</f>
        <v/>
      </c>
      <c r="M50" s="69" t="str">
        <f>IF(N50="","",IF(ISNUMBER(INDEX(am_cost,N50)),INDEX(am_cost,N50),""))</f>
        <v/>
      </c>
      <c r="N50" s="66" t="str">
        <f>IFERROR(MATCH(SMALL(am_plankey,44),am_plankey,0),"")</f>
        <v/>
      </c>
    </row>
    <row r="51" ht="30" customHeight="1">
      <c r="A51" s="65" t="str">
        <f>IF(N51="","",45)</f>
        <v/>
      </c>
      <c r="B51" s="66" t="str">
        <f>IF(N51="","",INDEX(am_num,N51)&amp;"")</f>
        <v/>
      </c>
      <c r="C51" s="67" t="str">
        <f>IF(N51="","",INDEX(am_step,N51)&amp;"")</f>
        <v/>
      </c>
      <c r="D51" s="67" t="str">
        <f>IF(N51="","",INDEX(am_mode,N51)&amp;"")</f>
        <v/>
      </c>
      <c r="E51" s="65" t="str">
        <f>IF(N51="","",INDEX(am_ipr,N51))</f>
        <v/>
      </c>
      <c r="F51" s="65" t="str">
        <f>IF(N51="","",INDEX(am_crit,N51)&amp;"")</f>
        <v/>
      </c>
      <c r="G51" s="67" t="str">
        <f>IF(N51="","",INDEX(am_action,N51)&amp;"")</f>
        <v/>
      </c>
      <c r="H51" s="67" t="str">
        <f>IF(N51="","",INDEX(am_who,N51)&amp;"")</f>
        <v/>
      </c>
      <c r="I51" s="68" t="str">
        <f>IF(N51="","",IF(N(INDEX(am_due,N51))&gt;0,INDEX(am_due,N51),""))</f>
        <v/>
      </c>
      <c r="J51" s="65" t="str">
        <f>IF(N51="","",INDEX(am_status,N51)&amp;"")</f>
        <v/>
      </c>
      <c r="K51" s="65" t="str">
        <f>IF(N51="","",INDEX(am_suivi,N51)&amp;"")</f>
        <v/>
      </c>
      <c r="L51" s="65" t="str">
        <f>IF(K51="En retard",p_today-I51,"")</f>
        <v/>
      </c>
      <c r="M51" s="69" t="str">
        <f>IF(N51="","",IF(ISNUMBER(INDEX(am_cost,N51)),INDEX(am_cost,N51),""))</f>
        <v/>
      </c>
      <c r="N51" s="66" t="str">
        <f>IFERROR(MATCH(SMALL(am_plankey,45),am_plankey,0),"")</f>
        <v/>
      </c>
    </row>
    <row r="52" ht="30" customHeight="1">
      <c r="A52" s="65" t="str">
        <f>IF(N52="","",46)</f>
        <v/>
      </c>
      <c r="B52" s="66" t="str">
        <f>IF(N52="","",INDEX(am_num,N52)&amp;"")</f>
        <v/>
      </c>
      <c r="C52" s="67" t="str">
        <f>IF(N52="","",INDEX(am_step,N52)&amp;"")</f>
        <v/>
      </c>
      <c r="D52" s="67" t="str">
        <f>IF(N52="","",INDEX(am_mode,N52)&amp;"")</f>
        <v/>
      </c>
      <c r="E52" s="65" t="str">
        <f>IF(N52="","",INDEX(am_ipr,N52))</f>
        <v/>
      </c>
      <c r="F52" s="65" t="str">
        <f>IF(N52="","",INDEX(am_crit,N52)&amp;"")</f>
        <v/>
      </c>
      <c r="G52" s="67" t="str">
        <f>IF(N52="","",INDEX(am_action,N52)&amp;"")</f>
        <v/>
      </c>
      <c r="H52" s="67" t="str">
        <f>IF(N52="","",INDEX(am_who,N52)&amp;"")</f>
        <v/>
      </c>
      <c r="I52" s="68" t="str">
        <f>IF(N52="","",IF(N(INDEX(am_due,N52))&gt;0,INDEX(am_due,N52),""))</f>
        <v/>
      </c>
      <c r="J52" s="65" t="str">
        <f>IF(N52="","",INDEX(am_status,N52)&amp;"")</f>
        <v/>
      </c>
      <c r="K52" s="65" t="str">
        <f>IF(N52="","",INDEX(am_suivi,N52)&amp;"")</f>
        <v/>
      </c>
      <c r="L52" s="65" t="str">
        <f>IF(K52="En retard",p_today-I52,"")</f>
        <v/>
      </c>
      <c r="M52" s="69" t="str">
        <f>IF(N52="","",IF(ISNUMBER(INDEX(am_cost,N52)),INDEX(am_cost,N52),""))</f>
        <v/>
      </c>
      <c r="N52" s="66" t="str">
        <f>IFERROR(MATCH(SMALL(am_plankey,46),am_plankey,0),"")</f>
        <v/>
      </c>
    </row>
    <row r="53" ht="30" customHeight="1">
      <c r="A53" s="65" t="str">
        <f>IF(N53="","",47)</f>
        <v/>
      </c>
      <c r="B53" s="66" t="str">
        <f>IF(N53="","",INDEX(am_num,N53)&amp;"")</f>
        <v/>
      </c>
      <c r="C53" s="67" t="str">
        <f>IF(N53="","",INDEX(am_step,N53)&amp;"")</f>
        <v/>
      </c>
      <c r="D53" s="67" t="str">
        <f>IF(N53="","",INDEX(am_mode,N53)&amp;"")</f>
        <v/>
      </c>
      <c r="E53" s="65" t="str">
        <f>IF(N53="","",INDEX(am_ipr,N53))</f>
        <v/>
      </c>
      <c r="F53" s="65" t="str">
        <f>IF(N53="","",INDEX(am_crit,N53)&amp;"")</f>
        <v/>
      </c>
      <c r="G53" s="67" t="str">
        <f>IF(N53="","",INDEX(am_action,N53)&amp;"")</f>
        <v/>
      </c>
      <c r="H53" s="67" t="str">
        <f>IF(N53="","",INDEX(am_who,N53)&amp;"")</f>
        <v/>
      </c>
      <c r="I53" s="68" t="str">
        <f>IF(N53="","",IF(N(INDEX(am_due,N53))&gt;0,INDEX(am_due,N53),""))</f>
        <v/>
      </c>
      <c r="J53" s="65" t="str">
        <f>IF(N53="","",INDEX(am_status,N53)&amp;"")</f>
        <v/>
      </c>
      <c r="K53" s="65" t="str">
        <f>IF(N53="","",INDEX(am_suivi,N53)&amp;"")</f>
        <v/>
      </c>
      <c r="L53" s="65" t="str">
        <f>IF(K53="En retard",p_today-I53,"")</f>
        <v/>
      </c>
      <c r="M53" s="69" t="str">
        <f>IF(N53="","",IF(ISNUMBER(INDEX(am_cost,N53)),INDEX(am_cost,N53),""))</f>
        <v/>
      </c>
      <c r="N53" s="66" t="str">
        <f>IFERROR(MATCH(SMALL(am_plankey,47),am_plankey,0),"")</f>
        <v/>
      </c>
    </row>
    <row r="54" ht="30" customHeight="1">
      <c r="A54" s="65" t="str">
        <f>IF(N54="","",48)</f>
        <v/>
      </c>
      <c r="B54" s="66" t="str">
        <f>IF(N54="","",INDEX(am_num,N54)&amp;"")</f>
        <v/>
      </c>
      <c r="C54" s="67" t="str">
        <f>IF(N54="","",INDEX(am_step,N54)&amp;"")</f>
        <v/>
      </c>
      <c r="D54" s="67" t="str">
        <f>IF(N54="","",INDEX(am_mode,N54)&amp;"")</f>
        <v/>
      </c>
      <c r="E54" s="65" t="str">
        <f>IF(N54="","",INDEX(am_ipr,N54))</f>
        <v/>
      </c>
      <c r="F54" s="65" t="str">
        <f>IF(N54="","",INDEX(am_crit,N54)&amp;"")</f>
        <v/>
      </c>
      <c r="G54" s="67" t="str">
        <f>IF(N54="","",INDEX(am_action,N54)&amp;"")</f>
        <v/>
      </c>
      <c r="H54" s="67" t="str">
        <f>IF(N54="","",INDEX(am_who,N54)&amp;"")</f>
        <v/>
      </c>
      <c r="I54" s="68" t="str">
        <f>IF(N54="","",IF(N(INDEX(am_due,N54))&gt;0,INDEX(am_due,N54),""))</f>
        <v/>
      </c>
      <c r="J54" s="65" t="str">
        <f>IF(N54="","",INDEX(am_status,N54)&amp;"")</f>
        <v/>
      </c>
      <c r="K54" s="65" t="str">
        <f>IF(N54="","",INDEX(am_suivi,N54)&amp;"")</f>
        <v/>
      </c>
      <c r="L54" s="65" t="str">
        <f>IF(K54="En retard",p_today-I54,"")</f>
        <v/>
      </c>
      <c r="M54" s="69" t="str">
        <f>IF(N54="","",IF(ISNUMBER(INDEX(am_cost,N54)),INDEX(am_cost,N54),""))</f>
        <v/>
      </c>
      <c r="N54" s="66" t="str">
        <f>IFERROR(MATCH(SMALL(am_plankey,48),am_plankey,0),"")</f>
        <v/>
      </c>
    </row>
    <row r="55" ht="30" customHeight="1">
      <c r="A55" s="65" t="str">
        <f>IF(N55="","",49)</f>
        <v/>
      </c>
      <c r="B55" s="66" t="str">
        <f>IF(N55="","",INDEX(am_num,N55)&amp;"")</f>
        <v/>
      </c>
      <c r="C55" s="67" t="str">
        <f>IF(N55="","",INDEX(am_step,N55)&amp;"")</f>
        <v/>
      </c>
      <c r="D55" s="67" t="str">
        <f>IF(N55="","",INDEX(am_mode,N55)&amp;"")</f>
        <v/>
      </c>
      <c r="E55" s="65" t="str">
        <f>IF(N55="","",INDEX(am_ipr,N55))</f>
        <v/>
      </c>
      <c r="F55" s="65" t="str">
        <f>IF(N55="","",INDEX(am_crit,N55)&amp;"")</f>
        <v/>
      </c>
      <c r="G55" s="67" t="str">
        <f>IF(N55="","",INDEX(am_action,N55)&amp;"")</f>
        <v/>
      </c>
      <c r="H55" s="67" t="str">
        <f>IF(N55="","",INDEX(am_who,N55)&amp;"")</f>
        <v/>
      </c>
      <c r="I55" s="68" t="str">
        <f>IF(N55="","",IF(N(INDEX(am_due,N55))&gt;0,INDEX(am_due,N55),""))</f>
        <v/>
      </c>
      <c r="J55" s="65" t="str">
        <f>IF(N55="","",INDEX(am_status,N55)&amp;"")</f>
        <v/>
      </c>
      <c r="K55" s="65" t="str">
        <f>IF(N55="","",INDEX(am_suivi,N55)&amp;"")</f>
        <v/>
      </c>
      <c r="L55" s="65" t="str">
        <f>IF(K55="En retard",p_today-I55,"")</f>
        <v/>
      </c>
      <c r="M55" s="69" t="str">
        <f>IF(N55="","",IF(ISNUMBER(INDEX(am_cost,N55)),INDEX(am_cost,N55),""))</f>
        <v/>
      </c>
      <c r="N55" s="66" t="str">
        <f>IFERROR(MATCH(SMALL(am_plankey,49),am_plankey,0),"")</f>
        <v/>
      </c>
    </row>
    <row r="56" ht="30" customHeight="1">
      <c r="A56" s="65" t="str">
        <f>IF(N56="","",50)</f>
        <v/>
      </c>
      <c r="B56" s="66" t="str">
        <f>IF(N56="","",INDEX(am_num,N56)&amp;"")</f>
        <v/>
      </c>
      <c r="C56" s="67" t="str">
        <f>IF(N56="","",INDEX(am_step,N56)&amp;"")</f>
        <v/>
      </c>
      <c r="D56" s="67" t="str">
        <f>IF(N56="","",INDEX(am_mode,N56)&amp;"")</f>
        <v/>
      </c>
      <c r="E56" s="65" t="str">
        <f>IF(N56="","",INDEX(am_ipr,N56))</f>
        <v/>
      </c>
      <c r="F56" s="65" t="str">
        <f>IF(N56="","",INDEX(am_crit,N56)&amp;"")</f>
        <v/>
      </c>
      <c r="G56" s="67" t="str">
        <f>IF(N56="","",INDEX(am_action,N56)&amp;"")</f>
        <v/>
      </c>
      <c r="H56" s="67" t="str">
        <f>IF(N56="","",INDEX(am_who,N56)&amp;"")</f>
        <v/>
      </c>
      <c r="I56" s="68" t="str">
        <f>IF(N56="","",IF(N(INDEX(am_due,N56))&gt;0,INDEX(am_due,N56),""))</f>
        <v/>
      </c>
      <c r="J56" s="65" t="str">
        <f>IF(N56="","",INDEX(am_status,N56)&amp;"")</f>
        <v/>
      </c>
      <c r="K56" s="65" t="str">
        <f>IF(N56="","",INDEX(am_suivi,N56)&amp;"")</f>
        <v/>
      </c>
      <c r="L56" s="65" t="str">
        <f>IF(K56="En retard",p_today-I56,"")</f>
        <v/>
      </c>
      <c r="M56" s="69" t="str">
        <f>IF(N56="","",IF(ISNUMBER(INDEX(am_cost,N56)),INDEX(am_cost,N56),""))</f>
        <v/>
      </c>
      <c r="N56" s="66" t="str">
        <f>IFERROR(MATCH(SMALL(am_plankey,50),am_plankey,0),"")</f>
        <v/>
      </c>
    </row>
    <row r="57" ht="30" customHeight="1">
      <c r="A57" s="65" t="str">
        <f>IF(N57="","",51)</f>
        <v/>
      </c>
      <c r="B57" s="66" t="str">
        <f>IF(N57="","",INDEX(am_num,N57)&amp;"")</f>
        <v/>
      </c>
      <c r="C57" s="67" t="str">
        <f>IF(N57="","",INDEX(am_step,N57)&amp;"")</f>
        <v/>
      </c>
      <c r="D57" s="67" t="str">
        <f>IF(N57="","",INDEX(am_mode,N57)&amp;"")</f>
        <v/>
      </c>
      <c r="E57" s="65" t="str">
        <f>IF(N57="","",INDEX(am_ipr,N57))</f>
        <v/>
      </c>
      <c r="F57" s="65" t="str">
        <f>IF(N57="","",INDEX(am_crit,N57)&amp;"")</f>
        <v/>
      </c>
      <c r="G57" s="67" t="str">
        <f>IF(N57="","",INDEX(am_action,N57)&amp;"")</f>
        <v/>
      </c>
      <c r="H57" s="67" t="str">
        <f>IF(N57="","",INDEX(am_who,N57)&amp;"")</f>
        <v/>
      </c>
      <c r="I57" s="68" t="str">
        <f>IF(N57="","",IF(N(INDEX(am_due,N57))&gt;0,INDEX(am_due,N57),""))</f>
        <v/>
      </c>
      <c r="J57" s="65" t="str">
        <f>IF(N57="","",INDEX(am_status,N57)&amp;"")</f>
        <v/>
      </c>
      <c r="K57" s="65" t="str">
        <f>IF(N57="","",INDEX(am_suivi,N57)&amp;"")</f>
        <v/>
      </c>
      <c r="L57" s="65" t="str">
        <f>IF(K57="En retard",p_today-I57,"")</f>
        <v/>
      </c>
      <c r="M57" s="69" t="str">
        <f>IF(N57="","",IF(ISNUMBER(INDEX(am_cost,N57)),INDEX(am_cost,N57),""))</f>
        <v/>
      </c>
      <c r="N57" s="66" t="str">
        <f>IFERROR(MATCH(SMALL(am_plankey,51),am_plankey,0),"")</f>
        <v/>
      </c>
    </row>
    <row r="58" ht="30" customHeight="1">
      <c r="A58" s="65" t="str">
        <f>IF(N58="","",52)</f>
        <v/>
      </c>
      <c r="B58" s="66" t="str">
        <f>IF(N58="","",INDEX(am_num,N58)&amp;"")</f>
        <v/>
      </c>
      <c r="C58" s="67" t="str">
        <f>IF(N58="","",INDEX(am_step,N58)&amp;"")</f>
        <v/>
      </c>
      <c r="D58" s="67" t="str">
        <f>IF(N58="","",INDEX(am_mode,N58)&amp;"")</f>
        <v/>
      </c>
      <c r="E58" s="65" t="str">
        <f>IF(N58="","",INDEX(am_ipr,N58))</f>
        <v/>
      </c>
      <c r="F58" s="65" t="str">
        <f>IF(N58="","",INDEX(am_crit,N58)&amp;"")</f>
        <v/>
      </c>
      <c r="G58" s="67" t="str">
        <f>IF(N58="","",INDEX(am_action,N58)&amp;"")</f>
        <v/>
      </c>
      <c r="H58" s="67" t="str">
        <f>IF(N58="","",INDEX(am_who,N58)&amp;"")</f>
        <v/>
      </c>
      <c r="I58" s="68" t="str">
        <f>IF(N58="","",IF(N(INDEX(am_due,N58))&gt;0,INDEX(am_due,N58),""))</f>
        <v/>
      </c>
      <c r="J58" s="65" t="str">
        <f>IF(N58="","",INDEX(am_status,N58)&amp;"")</f>
        <v/>
      </c>
      <c r="K58" s="65" t="str">
        <f>IF(N58="","",INDEX(am_suivi,N58)&amp;"")</f>
        <v/>
      </c>
      <c r="L58" s="65" t="str">
        <f>IF(K58="En retard",p_today-I58,"")</f>
        <v/>
      </c>
      <c r="M58" s="69" t="str">
        <f>IF(N58="","",IF(ISNUMBER(INDEX(am_cost,N58)),INDEX(am_cost,N58),""))</f>
        <v/>
      </c>
      <c r="N58" s="66" t="str">
        <f>IFERROR(MATCH(SMALL(am_plankey,52),am_plankey,0),"")</f>
        <v/>
      </c>
    </row>
    <row r="59" ht="30" customHeight="1">
      <c r="A59" s="65" t="str">
        <f>IF(N59="","",53)</f>
        <v/>
      </c>
      <c r="B59" s="66" t="str">
        <f>IF(N59="","",INDEX(am_num,N59)&amp;"")</f>
        <v/>
      </c>
      <c r="C59" s="67" t="str">
        <f>IF(N59="","",INDEX(am_step,N59)&amp;"")</f>
        <v/>
      </c>
      <c r="D59" s="67" t="str">
        <f>IF(N59="","",INDEX(am_mode,N59)&amp;"")</f>
        <v/>
      </c>
      <c r="E59" s="65" t="str">
        <f>IF(N59="","",INDEX(am_ipr,N59))</f>
        <v/>
      </c>
      <c r="F59" s="65" t="str">
        <f>IF(N59="","",INDEX(am_crit,N59)&amp;"")</f>
        <v/>
      </c>
      <c r="G59" s="67" t="str">
        <f>IF(N59="","",INDEX(am_action,N59)&amp;"")</f>
        <v/>
      </c>
      <c r="H59" s="67" t="str">
        <f>IF(N59="","",INDEX(am_who,N59)&amp;"")</f>
        <v/>
      </c>
      <c r="I59" s="68" t="str">
        <f>IF(N59="","",IF(N(INDEX(am_due,N59))&gt;0,INDEX(am_due,N59),""))</f>
        <v/>
      </c>
      <c r="J59" s="65" t="str">
        <f>IF(N59="","",INDEX(am_status,N59)&amp;"")</f>
        <v/>
      </c>
      <c r="K59" s="65" t="str">
        <f>IF(N59="","",INDEX(am_suivi,N59)&amp;"")</f>
        <v/>
      </c>
      <c r="L59" s="65" t="str">
        <f>IF(K59="En retard",p_today-I59,"")</f>
        <v/>
      </c>
      <c r="M59" s="69" t="str">
        <f>IF(N59="","",IF(ISNUMBER(INDEX(am_cost,N59)),INDEX(am_cost,N59),""))</f>
        <v/>
      </c>
      <c r="N59" s="66" t="str">
        <f>IFERROR(MATCH(SMALL(am_plankey,53),am_plankey,0),"")</f>
        <v/>
      </c>
    </row>
    <row r="60" ht="30" customHeight="1">
      <c r="A60" s="65" t="str">
        <f>IF(N60="","",54)</f>
        <v/>
      </c>
      <c r="B60" s="66" t="str">
        <f>IF(N60="","",INDEX(am_num,N60)&amp;"")</f>
        <v/>
      </c>
      <c r="C60" s="67" t="str">
        <f>IF(N60="","",INDEX(am_step,N60)&amp;"")</f>
        <v/>
      </c>
      <c r="D60" s="67" t="str">
        <f>IF(N60="","",INDEX(am_mode,N60)&amp;"")</f>
        <v/>
      </c>
      <c r="E60" s="65" t="str">
        <f>IF(N60="","",INDEX(am_ipr,N60))</f>
        <v/>
      </c>
      <c r="F60" s="65" t="str">
        <f>IF(N60="","",INDEX(am_crit,N60)&amp;"")</f>
        <v/>
      </c>
      <c r="G60" s="67" t="str">
        <f>IF(N60="","",INDEX(am_action,N60)&amp;"")</f>
        <v/>
      </c>
      <c r="H60" s="67" t="str">
        <f>IF(N60="","",INDEX(am_who,N60)&amp;"")</f>
        <v/>
      </c>
      <c r="I60" s="68" t="str">
        <f>IF(N60="","",IF(N(INDEX(am_due,N60))&gt;0,INDEX(am_due,N60),""))</f>
        <v/>
      </c>
      <c r="J60" s="65" t="str">
        <f>IF(N60="","",INDEX(am_status,N60)&amp;"")</f>
        <v/>
      </c>
      <c r="K60" s="65" t="str">
        <f>IF(N60="","",INDEX(am_suivi,N60)&amp;"")</f>
        <v/>
      </c>
      <c r="L60" s="65" t="str">
        <f>IF(K60="En retard",p_today-I60,"")</f>
        <v/>
      </c>
      <c r="M60" s="69" t="str">
        <f>IF(N60="","",IF(ISNUMBER(INDEX(am_cost,N60)),INDEX(am_cost,N60),""))</f>
        <v/>
      </c>
      <c r="N60" s="66" t="str">
        <f>IFERROR(MATCH(SMALL(am_plankey,54),am_plankey,0),"")</f>
        <v/>
      </c>
    </row>
    <row r="61" ht="30" customHeight="1">
      <c r="A61" s="65" t="str">
        <f>IF(N61="","",55)</f>
        <v/>
      </c>
      <c r="B61" s="66" t="str">
        <f>IF(N61="","",INDEX(am_num,N61)&amp;"")</f>
        <v/>
      </c>
      <c r="C61" s="67" t="str">
        <f>IF(N61="","",INDEX(am_step,N61)&amp;"")</f>
        <v/>
      </c>
      <c r="D61" s="67" t="str">
        <f>IF(N61="","",INDEX(am_mode,N61)&amp;"")</f>
        <v/>
      </c>
      <c r="E61" s="65" t="str">
        <f>IF(N61="","",INDEX(am_ipr,N61))</f>
        <v/>
      </c>
      <c r="F61" s="65" t="str">
        <f>IF(N61="","",INDEX(am_crit,N61)&amp;"")</f>
        <v/>
      </c>
      <c r="G61" s="67" t="str">
        <f>IF(N61="","",INDEX(am_action,N61)&amp;"")</f>
        <v/>
      </c>
      <c r="H61" s="67" t="str">
        <f>IF(N61="","",INDEX(am_who,N61)&amp;"")</f>
        <v/>
      </c>
      <c r="I61" s="68" t="str">
        <f>IF(N61="","",IF(N(INDEX(am_due,N61))&gt;0,INDEX(am_due,N61),""))</f>
        <v/>
      </c>
      <c r="J61" s="65" t="str">
        <f>IF(N61="","",INDEX(am_status,N61)&amp;"")</f>
        <v/>
      </c>
      <c r="K61" s="65" t="str">
        <f>IF(N61="","",INDEX(am_suivi,N61)&amp;"")</f>
        <v/>
      </c>
      <c r="L61" s="65" t="str">
        <f>IF(K61="En retard",p_today-I61,"")</f>
        <v/>
      </c>
      <c r="M61" s="69" t="str">
        <f>IF(N61="","",IF(ISNUMBER(INDEX(am_cost,N61)),INDEX(am_cost,N61),""))</f>
        <v/>
      </c>
      <c r="N61" s="66" t="str">
        <f>IFERROR(MATCH(SMALL(am_plankey,55),am_plankey,0),"")</f>
        <v/>
      </c>
    </row>
    <row r="62" ht="30" customHeight="1">
      <c r="A62" s="65" t="str">
        <f>IF(N62="","",56)</f>
        <v/>
      </c>
      <c r="B62" s="66" t="str">
        <f>IF(N62="","",INDEX(am_num,N62)&amp;"")</f>
        <v/>
      </c>
      <c r="C62" s="67" t="str">
        <f>IF(N62="","",INDEX(am_step,N62)&amp;"")</f>
        <v/>
      </c>
      <c r="D62" s="67" t="str">
        <f>IF(N62="","",INDEX(am_mode,N62)&amp;"")</f>
        <v/>
      </c>
      <c r="E62" s="65" t="str">
        <f>IF(N62="","",INDEX(am_ipr,N62))</f>
        <v/>
      </c>
      <c r="F62" s="65" t="str">
        <f>IF(N62="","",INDEX(am_crit,N62)&amp;"")</f>
        <v/>
      </c>
      <c r="G62" s="67" t="str">
        <f>IF(N62="","",INDEX(am_action,N62)&amp;"")</f>
        <v/>
      </c>
      <c r="H62" s="67" t="str">
        <f>IF(N62="","",INDEX(am_who,N62)&amp;"")</f>
        <v/>
      </c>
      <c r="I62" s="68" t="str">
        <f>IF(N62="","",IF(N(INDEX(am_due,N62))&gt;0,INDEX(am_due,N62),""))</f>
        <v/>
      </c>
      <c r="J62" s="65" t="str">
        <f>IF(N62="","",INDEX(am_status,N62)&amp;"")</f>
        <v/>
      </c>
      <c r="K62" s="65" t="str">
        <f>IF(N62="","",INDEX(am_suivi,N62)&amp;"")</f>
        <v/>
      </c>
      <c r="L62" s="65" t="str">
        <f>IF(K62="En retard",p_today-I62,"")</f>
        <v/>
      </c>
      <c r="M62" s="69" t="str">
        <f>IF(N62="","",IF(ISNUMBER(INDEX(am_cost,N62)),INDEX(am_cost,N62),""))</f>
        <v/>
      </c>
      <c r="N62" s="66" t="str">
        <f>IFERROR(MATCH(SMALL(am_plankey,56),am_plankey,0),"")</f>
        <v/>
      </c>
    </row>
    <row r="63" ht="30" customHeight="1">
      <c r="A63" s="65" t="str">
        <f>IF(N63="","",57)</f>
        <v/>
      </c>
      <c r="B63" s="66" t="str">
        <f>IF(N63="","",INDEX(am_num,N63)&amp;"")</f>
        <v/>
      </c>
      <c r="C63" s="67" t="str">
        <f>IF(N63="","",INDEX(am_step,N63)&amp;"")</f>
        <v/>
      </c>
      <c r="D63" s="67" t="str">
        <f>IF(N63="","",INDEX(am_mode,N63)&amp;"")</f>
        <v/>
      </c>
      <c r="E63" s="65" t="str">
        <f>IF(N63="","",INDEX(am_ipr,N63))</f>
        <v/>
      </c>
      <c r="F63" s="65" t="str">
        <f>IF(N63="","",INDEX(am_crit,N63)&amp;"")</f>
        <v/>
      </c>
      <c r="G63" s="67" t="str">
        <f>IF(N63="","",INDEX(am_action,N63)&amp;"")</f>
        <v/>
      </c>
      <c r="H63" s="67" t="str">
        <f>IF(N63="","",INDEX(am_who,N63)&amp;"")</f>
        <v/>
      </c>
      <c r="I63" s="68" t="str">
        <f>IF(N63="","",IF(N(INDEX(am_due,N63))&gt;0,INDEX(am_due,N63),""))</f>
        <v/>
      </c>
      <c r="J63" s="65" t="str">
        <f>IF(N63="","",INDEX(am_status,N63)&amp;"")</f>
        <v/>
      </c>
      <c r="K63" s="65" t="str">
        <f>IF(N63="","",INDEX(am_suivi,N63)&amp;"")</f>
        <v/>
      </c>
      <c r="L63" s="65" t="str">
        <f>IF(K63="En retard",p_today-I63,"")</f>
        <v/>
      </c>
      <c r="M63" s="69" t="str">
        <f>IF(N63="","",IF(ISNUMBER(INDEX(am_cost,N63)),INDEX(am_cost,N63),""))</f>
        <v/>
      </c>
      <c r="N63" s="66" t="str">
        <f>IFERROR(MATCH(SMALL(am_plankey,57),am_plankey,0),"")</f>
        <v/>
      </c>
    </row>
    <row r="64" ht="30" customHeight="1">
      <c r="A64" s="65" t="str">
        <f>IF(N64="","",58)</f>
        <v/>
      </c>
      <c r="B64" s="66" t="str">
        <f>IF(N64="","",INDEX(am_num,N64)&amp;"")</f>
        <v/>
      </c>
      <c r="C64" s="67" t="str">
        <f>IF(N64="","",INDEX(am_step,N64)&amp;"")</f>
        <v/>
      </c>
      <c r="D64" s="67" t="str">
        <f>IF(N64="","",INDEX(am_mode,N64)&amp;"")</f>
        <v/>
      </c>
      <c r="E64" s="65" t="str">
        <f>IF(N64="","",INDEX(am_ipr,N64))</f>
        <v/>
      </c>
      <c r="F64" s="65" t="str">
        <f>IF(N64="","",INDEX(am_crit,N64)&amp;"")</f>
        <v/>
      </c>
      <c r="G64" s="67" t="str">
        <f>IF(N64="","",INDEX(am_action,N64)&amp;"")</f>
        <v/>
      </c>
      <c r="H64" s="67" t="str">
        <f>IF(N64="","",INDEX(am_who,N64)&amp;"")</f>
        <v/>
      </c>
      <c r="I64" s="68" t="str">
        <f>IF(N64="","",IF(N(INDEX(am_due,N64))&gt;0,INDEX(am_due,N64),""))</f>
        <v/>
      </c>
      <c r="J64" s="65" t="str">
        <f>IF(N64="","",INDEX(am_status,N64)&amp;"")</f>
        <v/>
      </c>
      <c r="K64" s="65" t="str">
        <f>IF(N64="","",INDEX(am_suivi,N64)&amp;"")</f>
        <v/>
      </c>
      <c r="L64" s="65" t="str">
        <f>IF(K64="En retard",p_today-I64,"")</f>
        <v/>
      </c>
      <c r="M64" s="69" t="str">
        <f>IF(N64="","",IF(ISNUMBER(INDEX(am_cost,N64)),INDEX(am_cost,N64),""))</f>
        <v/>
      </c>
      <c r="N64" s="66" t="str">
        <f>IFERROR(MATCH(SMALL(am_plankey,58),am_plankey,0),"")</f>
        <v/>
      </c>
    </row>
    <row r="65" ht="30" customHeight="1">
      <c r="A65" s="65" t="str">
        <f>IF(N65="","",59)</f>
        <v/>
      </c>
      <c r="B65" s="66" t="str">
        <f>IF(N65="","",INDEX(am_num,N65)&amp;"")</f>
        <v/>
      </c>
      <c r="C65" s="67" t="str">
        <f>IF(N65="","",INDEX(am_step,N65)&amp;"")</f>
        <v/>
      </c>
      <c r="D65" s="67" t="str">
        <f>IF(N65="","",INDEX(am_mode,N65)&amp;"")</f>
        <v/>
      </c>
      <c r="E65" s="65" t="str">
        <f>IF(N65="","",INDEX(am_ipr,N65))</f>
        <v/>
      </c>
      <c r="F65" s="65" t="str">
        <f>IF(N65="","",INDEX(am_crit,N65)&amp;"")</f>
        <v/>
      </c>
      <c r="G65" s="67" t="str">
        <f>IF(N65="","",INDEX(am_action,N65)&amp;"")</f>
        <v/>
      </c>
      <c r="H65" s="67" t="str">
        <f>IF(N65="","",INDEX(am_who,N65)&amp;"")</f>
        <v/>
      </c>
      <c r="I65" s="68" t="str">
        <f>IF(N65="","",IF(N(INDEX(am_due,N65))&gt;0,INDEX(am_due,N65),""))</f>
        <v/>
      </c>
      <c r="J65" s="65" t="str">
        <f>IF(N65="","",INDEX(am_status,N65)&amp;"")</f>
        <v/>
      </c>
      <c r="K65" s="65" t="str">
        <f>IF(N65="","",INDEX(am_suivi,N65)&amp;"")</f>
        <v/>
      </c>
      <c r="L65" s="65" t="str">
        <f>IF(K65="En retard",p_today-I65,"")</f>
        <v/>
      </c>
      <c r="M65" s="69" t="str">
        <f>IF(N65="","",IF(ISNUMBER(INDEX(am_cost,N65)),INDEX(am_cost,N65),""))</f>
        <v/>
      </c>
      <c r="N65" s="66" t="str">
        <f>IFERROR(MATCH(SMALL(am_plankey,59),am_plankey,0),"")</f>
        <v/>
      </c>
    </row>
    <row r="66" ht="30" customHeight="1">
      <c r="A66" s="65" t="str">
        <f>IF(N66="","",60)</f>
        <v/>
      </c>
      <c r="B66" s="66" t="str">
        <f>IF(N66="","",INDEX(am_num,N66)&amp;"")</f>
        <v/>
      </c>
      <c r="C66" s="67" t="str">
        <f>IF(N66="","",INDEX(am_step,N66)&amp;"")</f>
        <v/>
      </c>
      <c r="D66" s="67" t="str">
        <f>IF(N66="","",INDEX(am_mode,N66)&amp;"")</f>
        <v/>
      </c>
      <c r="E66" s="65" t="str">
        <f>IF(N66="","",INDEX(am_ipr,N66))</f>
        <v/>
      </c>
      <c r="F66" s="65" t="str">
        <f>IF(N66="","",INDEX(am_crit,N66)&amp;"")</f>
        <v/>
      </c>
      <c r="G66" s="67" t="str">
        <f>IF(N66="","",INDEX(am_action,N66)&amp;"")</f>
        <v/>
      </c>
      <c r="H66" s="67" t="str">
        <f>IF(N66="","",INDEX(am_who,N66)&amp;"")</f>
        <v/>
      </c>
      <c r="I66" s="68" t="str">
        <f>IF(N66="","",IF(N(INDEX(am_due,N66))&gt;0,INDEX(am_due,N66),""))</f>
        <v/>
      </c>
      <c r="J66" s="65" t="str">
        <f>IF(N66="","",INDEX(am_status,N66)&amp;"")</f>
        <v/>
      </c>
      <c r="K66" s="65" t="str">
        <f>IF(N66="","",INDEX(am_suivi,N66)&amp;"")</f>
        <v/>
      </c>
      <c r="L66" s="65" t="str">
        <f>IF(K66="En retard",p_today-I66,"")</f>
        <v/>
      </c>
      <c r="M66" s="69" t="str">
        <f>IF(N66="","",IF(ISNUMBER(INDEX(am_cost,N66)),INDEX(am_cost,N66),""))</f>
        <v/>
      </c>
      <c r="N66" s="66" t="str">
        <f>IFERROR(MATCH(SMALL(am_plankey,60),am_plankey,0),"")</f>
        <v/>
      </c>
    </row>
    <row r="67" ht="30" customHeight="1">
      <c r="A67" s="65" t="str">
        <f>IF(N67="","",61)</f>
        <v/>
      </c>
      <c r="B67" s="66" t="str">
        <f>IF(N67="","",INDEX(am_num,N67)&amp;"")</f>
        <v/>
      </c>
      <c r="C67" s="67" t="str">
        <f>IF(N67="","",INDEX(am_step,N67)&amp;"")</f>
        <v/>
      </c>
      <c r="D67" s="67" t="str">
        <f>IF(N67="","",INDEX(am_mode,N67)&amp;"")</f>
        <v/>
      </c>
      <c r="E67" s="65" t="str">
        <f>IF(N67="","",INDEX(am_ipr,N67))</f>
        <v/>
      </c>
      <c r="F67" s="65" t="str">
        <f>IF(N67="","",INDEX(am_crit,N67)&amp;"")</f>
        <v/>
      </c>
      <c r="G67" s="67" t="str">
        <f>IF(N67="","",INDEX(am_action,N67)&amp;"")</f>
        <v/>
      </c>
      <c r="H67" s="67" t="str">
        <f>IF(N67="","",INDEX(am_who,N67)&amp;"")</f>
        <v/>
      </c>
      <c r="I67" s="68" t="str">
        <f>IF(N67="","",IF(N(INDEX(am_due,N67))&gt;0,INDEX(am_due,N67),""))</f>
        <v/>
      </c>
      <c r="J67" s="65" t="str">
        <f>IF(N67="","",INDEX(am_status,N67)&amp;"")</f>
        <v/>
      </c>
      <c r="K67" s="65" t="str">
        <f>IF(N67="","",INDEX(am_suivi,N67)&amp;"")</f>
        <v/>
      </c>
      <c r="L67" s="65" t="str">
        <f>IF(K67="En retard",p_today-I67,"")</f>
        <v/>
      </c>
      <c r="M67" s="69" t="str">
        <f>IF(N67="","",IF(ISNUMBER(INDEX(am_cost,N67)),INDEX(am_cost,N67),""))</f>
        <v/>
      </c>
      <c r="N67" s="66" t="str">
        <f>IFERROR(MATCH(SMALL(am_plankey,61),am_plankey,0),"")</f>
        <v/>
      </c>
    </row>
    <row r="68" ht="30" customHeight="1">
      <c r="A68" s="65" t="str">
        <f>IF(N68="","",62)</f>
        <v/>
      </c>
      <c r="B68" s="66" t="str">
        <f>IF(N68="","",INDEX(am_num,N68)&amp;"")</f>
        <v/>
      </c>
      <c r="C68" s="67" t="str">
        <f>IF(N68="","",INDEX(am_step,N68)&amp;"")</f>
        <v/>
      </c>
      <c r="D68" s="67" t="str">
        <f>IF(N68="","",INDEX(am_mode,N68)&amp;"")</f>
        <v/>
      </c>
      <c r="E68" s="65" t="str">
        <f>IF(N68="","",INDEX(am_ipr,N68))</f>
        <v/>
      </c>
      <c r="F68" s="65" t="str">
        <f>IF(N68="","",INDEX(am_crit,N68)&amp;"")</f>
        <v/>
      </c>
      <c r="G68" s="67" t="str">
        <f>IF(N68="","",INDEX(am_action,N68)&amp;"")</f>
        <v/>
      </c>
      <c r="H68" s="67" t="str">
        <f>IF(N68="","",INDEX(am_who,N68)&amp;"")</f>
        <v/>
      </c>
      <c r="I68" s="68" t="str">
        <f>IF(N68="","",IF(N(INDEX(am_due,N68))&gt;0,INDEX(am_due,N68),""))</f>
        <v/>
      </c>
      <c r="J68" s="65" t="str">
        <f>IF(N68="","",INDEX(am_status,N68)&amp;"")</f>
        <v/>
      </c>
      <c r="K68" s="65" t="str">
        <f>IF(N68="","",INDEX(am_suivi,N68)&amp;"")</f>
        <v/>
      </c>
      <c r="L68" s="65" t="str">
        <f>IF(K68="En retard",p_today-I68,"")</f>
        <v/>
      </c>
      <c r="M68" s="69" t="str">
        <f>IF(N68="","",IF(ISNUMBER(INDEX(am_cost,N68)),INDEX(am_cost,N68),""))</f>
        <v/>
      </c>
      <c r="N68" s="66" t="str">
        <f>IFERROR(MATCH(SMALL(am_plankey,62),am_plankey,0),"")</f>
        <v/>
      </c>
    </row>
    <row r="69" ht="30" customHeight="1">
      <c r="A69" s="65" t="str">
        <f>IF(N69="","",63)</f>
        <v/>
      </c>
      <c r="B69" s="66" t="str">
        <f>IF(N69="","",INDEX(am_num,N69)&amp;"")</f>
        <v/>
      </c>
      <c r="C69" s="67" t="str">
        <f>IF(N69="","",INDEX(am_step,N69)&amp;"")</f>
        <v/>
      </c>
      <c r="D69" s="67" t="str">
        <f>IF(N69="","",INDEX(am_mode,N69)&amp;"")</f>
        <v/>
      </c>
      <c r="E69" s="65" t="str">
        <f>IF(N69="","",INDEX(am_ipr,N69))</f>
        <v/>
      </c>
      <c r="F69" s="65" t="str">
        <f>IF(N69="","",INDEX(am_crit,N69)&amp;"")</f>
        <v/>
      </c>
      <c r="G69" s="67" t="str">
        <f>IF(N69="","",INDEX(am_action,N69)&amp;"")</f>
        <v/>
      </c>
      <c r="H69" s="67" t="str">
        <f>IF(N69="","",INDEX(am_who,N69)&amp;"")</f>
        <v/>
      </c>
      <c r="I69" s="68" t="str">
        <f>IF(N69="","",IF(N(INDEX(am_due,N69))&gt;0,INDEX(am_due,N69),""))</f>
        <v/>
      </c>
      <c r="J69" s="65" t="str">
        <f>IF(N69="","",INDEX(am_status,N69)&amp;"")</f>
        <v/>
      </c>
      <c r="K69" s="65" t="str">
        <f>IF(N69="","",INDEX(am_suivi,N69)&amp;"")</f>
        <v/>
      </c>
      <c r="L69" s="65" t="str">
        <f>IF(K69="En retard",p_today-I69,"")</f>
        <v/>
      </c>
      <c r="M69" s="69" t="str">
        <f>IF(N69="","",IF(ISNUMBER(INDEX(am_cost,N69)),INDEX(am_cost,N69),""))</f>
        <v/>
      </c>
      <c r="N69" s="66" t="str">
        <f>IFERROR(MATCH(SMALL(am_plankey,63),am_plankey,0),"")</f>
        <v/>
      </c>
    </row>
    <row r="70" ht="30" customHeight="1">
      <c r="A70" s="65" t="str">
        <f>IF(N70="","",64)</f>
        <v/>
      </c>
      <c r="B70" s="66" t="str">
        <f>IF(N70="","",INDEX(am_num,N70)&amp;"")</f>
        <v/>
      </c>
      <c r="C70" s="67" t="str">
        <f>IF(N70="","",INDEX(am_step,N70)&amp;"")</f>
        <v/>
      </c>
      <c r="D70" s="67" t="str">
        <f>IF(N70="","",INDEX(am_mode,N70)&amp;"")</f>
        <v/>
      </c>
      <c r="E70" s="65" t="str">
        <f>IF(N70="","",INDEX(am_ipr,N70))</f>
        <v/>
      </c>
      <c r="F70" s="65" t="str">
        <f>IF(N70="","",INDEX(am_crit,N70)&amp;"")</f>
        <v/>
      </c>
      <c r="G70" s="67" t="str">
        <f>IF(N70="","",INDEX(am_action,N70)&amp;"")</f>
        <v/>
      </c>
      <c r="H70" s="67" t="str">
        <f>IF(N70="","",INDEX(am_who,N70)&amp;"")</f>
        <v/>
      </c>
      <c r="I70" s="68" t="str">
        <f>IF(N70="","",IF(N(INDEX(am_due,N70))&gt;0,INDEX(am_due,N70),""))</f>
        <v/>
      </c>
      <c r="J70" s="65" t="str">
        <f>IF(N70="","",INDEX(am_status,N70)&amp;"")</f>
        <v/>
      </c>
      <c r="K70" s="65" t="str">
        <f>IF(N70="","",INDEX(am_suivi,N70)&amp;"")</f>
        <v/>
      </c>
      <c r="L70" s="65" t="str">
        <f>IF(K70="En retard",p_today-I70,"")</f>
        <v/>
      </c>
      <c r="M70" s="69" t="str">
        <f>IF(N70="","",IF(ISNUMBER(INDEX(am_cost,N70)),INDEX(am_cost,N70),""))</f>
        <v/>
      </c>
      <c r="N70" s="66" t="str">
        <f>IFERROR(MATCH(SMALL(am_plankey,64),am_plankey,0),"")</f>
        <v/>
      </c>
    </row>
    <row r="71" ht="30" customHeight="1">
      <c r="A71" s="65" t="str">
        <f>IF(N71="","",65)</f>
        <v/>
      </c>
      <c r="B71" s="66" t="str">
        <f>IF(N71="","",INDEX(am_num,N71)&amp;"")</f>
        <v/>
      </c>
      <c r="C71" s="67" t="str">
        <f>IF(N71="","",INDEX(am_step,N71)&amp;"")</f>
        <v/>
      </c>
      <c r="D71" s="67" t="str">
        <f>IF(N71="","",INDEX(am_mode,N71)&amp;"")</f>
        <v/>
      </c>
      <c r="E71" s="65" t="str">
        <f>IF(N71="","",INDEX(am_ipr,N71))</f>
        <v/>
      </c>
      <c r="F71" s="65" t="str">
        <f>IF(N71="","",INDEX(am_crit,N71)&amp;"")</f>
        <v/>
      </c>
      <c r="G71" s="67" t="str">
        <f>IF(N71="","",INDEX(am_action,N71)&amp;"")</f>
        <v/>
      </c>
      <c r="H71" s="67" t="str">
        <f>IF(N71="","",INDEX(am_who,N71)&amp;"")</f>
        <v/>
      </c>
      <c r="I71" s="68" t="str">
        <f>IF(N71="","",IF(N(INDEX(am_due,N71))&gt;0,INDEX(am_due,N71),""))</f>
        <v/>
      </c>
      <c r="J71" s="65" t="str">
        <f>IF(N71="","",INDEX(am_status,N71)&amp;"")</f>
        <v/>
      </c>
      <c r="K71" s="65" t="str">
        <f>IF(N71="","",INDEX(am_suivi,N71)&amp;"")</f>
        <v/>
      </c>
      <c r="L71" s="65" t="str">
        <f>IF(K71="En retard",p_today-I71,"")</f>
        <v/>
      </c>
      <c r="M71" s="69" t="str">
        <f>IF(N71="","",IF(ISNUMBER(INDEX(am_cost,N71)),INDEX(am_cost,N71),""))</f>
        <v/>
      </c>
      <c r="N71" s="66" t="str">
        <f>IFERROR(MATCH(SMALL(am_plankey,65),am_plankey,0),"")</f>
        <v/>
      </c>
    </row>
    <row r="72" ht="30" customHeight="1">
      <c r="A72" s="65" t="str">
        <f>IF(N72="","",66)</f>
        <v/>
      </c>
      <c r="B72" s="66" t="str">
        <f>IF(N72="","",INDEX(am_num,N72)&amp;"")</f>
        <v/>
      </c>
      <c r="C72" s="67" t="str">
        <f>IF(N72="","",INDEX(am_step,N72)&amp;"")</f>
        <v/>
      </c>
      <c r="D72" s="67" t="str">
        <f>IF(N72="","",INDEX(am_mode,N72)&amp;"")</f>
        <v/>
      </c>
      <c r="E72" s="65" t="str">
        <f>IF(N72="","",INDEX(am_ipr,N72))</f>
        <v/>
      </c>
      <c r="F72" s="65" t="str">
        <f>IF(N72="","",INDEX(am_crit,N72)&amp;"")</f>
        <v/>
      </c>
      <c r="G72" s="67" t="str">
        <f>IF(N72="","",INDEX(am_action,N72)&amp;"")</f>
        <v/>
      </c>
      <c r="H72" s="67" t="str">
        <f>IF(N72="","",INDEX(am_who,N72)&amp;"")</f>
        <v/>
      </c>
      <c r="I72" s="68" t="str">
        <f>IF(N72="","",IF(N(INDEX(am_due,N72))&gt;0,INDEX(am_due,N72),""))</f>
        <v/>
      </c>
      <c r="J72" s="65" t="str">
        <f>IF(N72="","",INDEX(am_status,N72)&amp;"")</f>
        <v/>
      </c>
      <c r="K72" s="65" t="str">
        <f>IF(N72="","",INDEX(am_suivi,N72)&amp;"")</f>
        <v/>
      </c>
      <c r="L72" s="65" t="str">
        <f>IF(K72="En retard",p_today-I72,"")</f>
        <v/>
      </c>
      <c r="M72" s="69" t="str">
        <f>IF(N72="","",IF(ISNUMBER(INDEX(am_cost,N72)),INDEX(am_cost,N72),""))</f>
        <v/>
      </c>
      <c r="N72" s="66" t="str">
        <f>IFERROR(MATCH(SMALL(am_plankey,66),am_plankey,0),"")</f>
        <v/>
      </c>
    </row>
    <row r="73" ht="30" customHeight="1">
      <c r="A73" s="65" t="str">
        <f>IF(N73="","",67)</f>
        <v/>
      </c>
      <c r="B73" s="66" t="str">
        <f>IF(N73="","",INDEX(am_num,N73)&amp;"")</f>
        <v/>
      </c>
      <c r="C73" s="67" t="str">
        <f>IF(N73="","",INDEX(am_step,N73)&amp;"")</f>
        <v/>
      </c>
      <c r="D73" s="67" t="str">
        <f>IF(N73="","",INDEX(am_mode,N73)&amp;"")</f>
        <v/>
      </c>
      <c r="E73" s="65" t="str">
        <f>IF(N73="","",INDEX(am_ipr,N73))</f>
        <v/>
      </c>
      <c r="F73" s="65" t="str">
        <f>IF(N73="","",INDEX(am_crit,N73)&amp;"")</f>
        <v/>
      </c>
      <c r="G73" s="67" t="str">
        <f>IF(N73="","",INDEX(am_action,N73)&amp;"")</f>
        <v/>
      </c>
      <c r="H73" s="67" t="str">
        <f>IF(N73="","",INDEX(am_who,N73)&amp;"")</f>
        <v/>
      </c>
      <c r="I73" s="68" t="str">
        <f>IF(N73="","",IF(N(INDEX(am_due,N73))&gt;0,INDEX(am_due,N73),""))</f>
        <v/>
      </c>
      <c r="J73" s="65" t="str">
        <f>IF(N73="","",INDEX(am_status,N73)&amp;"")</f>
        <v/>
      </c>
      <c r="K73" s="65" t="str">
        <f>IF(N73="","",INDEX(am_suivi,N73)&amp;"")</f>
        <v/>
      </c>
      <c r="L73" s="65" t="str">
        <f>IF(K73="En retard",p_today-I73,"")</f>
        <v/>
      </c>
      <c r="M73" s="69" t="str">
        <f>IF(N73="","",IF(ISNUMBER(INDEX(am_cost,N73)),INDEX(am_cost,N73),""))</f>
        <v/>
      </c>
      <c r="N73" s="66" t="str">
        <f>IFERROR(MATCH(SMALL(am_plankey,67),am_plankey,0),"")</f>
        <v/>
      </c>
    </row>
    <row r="74" ht="30" customHeight="1">
      <c r="A74" s="65" t="str">
        <f>IF(N74="","",68)</f>
        <v/>
      </c>
      <c r="B74" s="66" t="str">
        <f>IF(N74="","",INDEX(am_num,N74)&amp;"")</f>
        <v/>
      </c>
      <c r="C74" s="67" t="str">
        <f>IF(N74="","",INDEX(am_step,N74)&amp;"")</f>
        <v/>
      </c>
      <c r="D74" s="67" t="str">
        <f>IF(N74="","",INDEX(am_mode,N74)&amp;"")</f>
        <v/>
      </c>
      <c r="E74" s="65" t="str">
        <f>IF(N74="","",INDEX(am_ipr,N74))</f>
        <v/>
      </c>
      <c r="F74" s="65" t="str">
        <f>IF(N74="","",INDEX(am_crit,N74)&amp;"")</f>
        <v/>
      </c>
      <c r="G74" s="67" t="str">
        <f>IF(N74="","",INDEX(am_action,N74)&amp;"")</f>
        <v/>
      </c>
      <c r="H74" s="67" t="str">
        <f>IF(N74="","",INDEX(am_who,N74)&amp;"")</f>
        <v/>
      </c>
      <c r="I74" s="68" t="str">
        <f>IF(N74="","",IF(N(INDEX(am_due,N74))&gt;0,INDEX(am_due,N74),""))</f>
        <v/>
      </c>
      <c r="J74" s="65" t="str">
        <f>IF(N74="","",INDEX(am_status,N74)&amp;"")</f>
        <v/>
      </c>
      <c r="K74" s="65" t="str">
        <f>IF(N74="","",INDEX(am_suivi,N74)&amp;"")</f>
        <v/>
      </c>
      <c r="L74" s="65" t="str">
        <f>IF(K74="En retard",p_today-I74,"")</f>
        <v/>
      </c>
      <c r="M74" s="69" t="str">
        <f>IF(N74="","",IF(ISNUMBER(INDEX(am_cost,N74)),INDEX(am_cost,N74),""))</f>
        <v/>
      </c>
      <c r="N74" s="66" t="str">
        <f>IFERROR(MATCH(SMALL(am_plankey,68),am_plankey,0),"")</f>
        <v/>
      </c>
    </row>
    <row r="75" ht="30" customHeight="1">
      <c r="A75" s="65" t="str">
        <f>IF(N75="","",69)</f>
        <v/>
      </c>
      <c r="B75" s="66" t="str">
        <f>IF(N75="","",INDEX(am_num,N75)&amp;"")</f>
        <v/>
      </c>
      <c r="C75" s="67" t="str">
        <f>IF(N75="","",INDEX(am_step,N75)&amp;"")</f>
        <v/>
      </c>
      <c r="D75" s="67" t="str">
        <f>IF(N75="","",INDEX(am_mode,N75)&amp;"")</f>
        <v/>
      </c>
      <c r="E75" s="65" t="str">
        <f>IF(N75="","",INDEX(am_ipr,N75))</f>
        <v/>
      </c>
      <c r="F75" s="65" t="str">
        <f>IF(N75="","",INDEX(am_crit,N75)&amp;"")</f>
        <v/>
      </c>
      <c r="G75" s="67" t="str">
        <f>IF(N75="","",INDEX(am_action,N75)&amp;"")</f>
        <v/>
      </c>
      <c r="H75" s="67" t="str">
        <f>IF(N75="","",INDEX(am_who,N75)&amp;"")</f>
        <v/>
      </c>
      <c r="I75" s="68" t="str">
        <f>IF(N75="","",IF(N(INDEX(am_due,N75))&gt;0,INDEX(am_due,N75),""))</f>
        <v/>
      </c>
      <c r="J75" s="65" t="str">
        <f>IF(N75="","",INDEX(am_status,N75)&amp;"")</f>
        <v/>
      </c>
      <c r="K75" s="65" t="str">
        <f>IF(N75="","",INDEX(am_suivi,N75)&amp;"")</f>
        <v/>
      </c>
      <c r="L75" s="65" t="str">
        <f>IF(K75="En retard",p_today-I75,"")</f>
        <v/>
      </c>
      <c r="M75" s="69" t="str">
        <f>IF(N75="","",IF(ISNUMBER(INDEX(am_cost,N75)),INDEX(am_cost,N75),""))</f>
        <v/>
      </c>
      <c r="N75" s="66" t="str">
        <f>IFERROR(MATCH(SMALL(am_plankey,69),am_plankey,0),"")</f>
        <v/>
      </c>
    </row>
    <row r="76" ht="30" customHeight="1">
      <c r="A76" s="65" t="str">
        <f>IF(N76="","",70)</f>
        <v/>
      </c>
      <c r="B76" s="66" t="str">
        <f>IF(N76="","",INDEX(am_num,N76)&amp;"")</f>
        <v/>
      </c>
      <c r="C76" s="67" t="str">
        <f>IF(N76="","",INDEX(am_step,N76)&amp;"")</f>
        <v/>
      </c>
      <c r="D76" s="67" t="str">
        <f>IF(N76="","",INDEX(am_mode,N76)&amp;"")</f>
        <v/>
      </c>
      <c r="E76" s="65" t="str">
        <f>IF(N76="","",INDEX(am_ipr,N76))</f>
        <v/>
      </c>
      <c r="F76" s="65" t="str">
        <f>IF(N76="","",INDEX(am_crit,N76)&amp;"")</f>
        <v/>
      </c>
      <c r="G76" s="67" t="str">
        <f>IF(N76="","",INDEX(am_action,N76)&amp;"")</f>
        <v/>
      </c>
      <c r="H76" s="67" t="str">
        <f>IF(N76="","",INDEX(am_who,N76)&amp;"")</f>
        <v/>
      </c>
      <c r="I76" s="68" t="str">
        <f>IF(N76="","",IF(N(INDEX(am_due,N76))&gt;0,INDEX(am_due,N76),""))</f>
        <v/>
      </c>
      <c r="J76" s="65" t="str">
        <f>IF(N76="","",INDEX(am_status,N76)&amp;"")</f>
        <v/>
      </c>
      <c r="K76" s="65" t="str">
        <f>IF(N76="","",INDEX(am_suivi,N76)&amp;"")</f>
        <v/>
      </c>
      <c r="L76" s="65" t="str">
        <f>IF(K76="En retard",p_today-I76,"")</f>
        <v/>
      </c>
      <c r="M76" s="69" t="str">
        <f>IF(N76="","",IF(ISNUMBER(INDEX(am_cost,N76)),INDEX(am_cost,N76),""))</f>
        <v/>
      </c>
      <c r="N76" s="66" t="str">
        <f>IFERROR(MATCH(SMALL(am_plankey,70),am_plankey,0),"")</f>
        <v/>
      </c>
    </row>
    <row r="77" ht="30" customHeight="1">
      <c r="A77" s="65" t="str">
        <f>IF(N77="","",71)</f>
        <v/>
      </c>
      <c r="B77" s="66" t="str">
        <f>IF(N77="","",INDEX(am_num,N77)&amp;"")</f>
        <v/>
      </c>
      <c r="C77" s="67" t="str">
        <f>IF(N77="","",INDEX(am_step,N77)&amp;"")</f>
        <v/>
      </c>
      <c r="D77" s="67" t="str">
        <f>IF(N77="","",INDEX(am_mode,N77)&amp;"")</f>
        <v/>
      </c>
      <c r="E77" s="65" t="str">
        <f>IF(N77="","",INDEX(am_ipr,N77))</f>
        <v/>
      </c>
      <c r="F77" s="65" t="str">
        <f>IF(N77="","",INDEX(am_crit,N77)&amp;"")</f>
        <v/>
      </c>
      <c r="G77" s="67" t="str">
        <f>IF(N77="","",INDEX(am_action,N77)&amp;"")</f>
        <v/>
      </c>
      <c r="H77" s="67" t="str">
        <f>IF(N77="","",INDEX(am_who,N77)&amp;"")</f>
        <v/>
      </c>
      <c r="I77" s="68" t="str">
        <f>IF(N77="","",IF(N(INDEX(am_due,N77))&gt;0,INDEX(am_due,N77),""))</f>
        <v/>
      </c>
      <c r="J77" s="65" t="str">
        <f>IF(N77="","",INDEX(am_status,N77)&amp;"")</f>
        <v/>
      </c>
      <c r="K77" s="65" t="str">
        <f>IF(N77="","",INDEX(am_suivi,N77)&amp;"")</f>
        <v/>
      </c>
      <c r="L77" s="65" t="str">
        <f>IF(K77="En retard",p_today-I77,"")</f>
        <v/>
      </c>
      <c r="M77" s="69" t="str">
        <f>IF(N77="","",IF(ISNUMBER(INDEX(am_cost,N77)),INDEX(am_cost,N77),""))</f>
        <v/>
      </c>
      <c r="N77" s="66" t="str">
        <f>IFERROR(MATCH(SMALL(am_plankey,71),am_plankey,0),"")</f>
        <v/>
      </c>
    </row>
    <row r="78" ht="30" customHeight="1">
      <c r="A78" s="65" t="str">
        <f>IF(N78="","",72)</f>
        <v/>
      </c>
      <c r="B78" s="66" t="str">
        <f>IF(N78="","",INDEX(am_num,N78)&amp;"")</f>
        <v/>
      </c>
      <c r="C78" s="67" t="str">
        <f>IF(N78="","",INDEX(am_step,N78)&amp;"")</f>
        <v/>
      </c>
      <c r="D78" s="67" t="str">
        <f>IF(N78="","",INDEX(am_mode,N78)&amp;"")</f>
        <v/>
      </c>
      <c r="E78" s="65" t="str">
        <f>IF(N78="","",INDEX(am_ipr,N78))</f>
        <v/>
      </c>
      <c r="F78" s="65" t="str">
        <f>IF(N78="","",INDEX(am_crit,N78)&amp;"")</f>
        <v/>
      </c>
      <c r="G78" s="67" t="str">
        <f>IF(N78="","",INDEX(am_action,N78)&amp;"")</f>
        <v/>
      </c>
      <c r="H78" s="67" t="str">
        <f>IF(N78="","",INDEX(am_who,N78)&amp;"")</f>
        <v/>
      </c>
      <c r="I78" s="68" t="str">
        <f>IF(N78="","",IF(N(INDEX(am_due,N78))&gt;0,INDEX(am_due,N78),""))</f>
        <v/>
      </c>
      <c r="J78" s="65" t="str">
        <f>IF(N78="","",INDEX(am_status,N78)&amp;"")</f>
        <v/>
      </c>
      <c r="K78" s="65" t="str">
        <f>IF(N78="","",INDEX(am_suivi,N78)&amp;"")</f>
        <v/>
      </c>
      <c r="L78" s="65" t="str">
        <f>IF(K78="En retard",p_today-I78,"")</f>
        <v/>
      </c>
      <c r="M78" s="69" t="str">
        <f>IF(N78="","",IF(ISNUMBER(INDEX(am_cost,N78)),INDEX(am_cost,N78),""))</f>
        <v/>
      </c>
      <c r="N78" s="66" t="str">
        <f>IFERROR(MATCH(SMALL(am_plankey,72),am_plankey,0),"")</f>
        <v/>
      </c>
    </row>
    <row r="79" ht="30" customHeight="1">
      <c r="A79" s="65" t="str">
        <f>IF(N79="","",73)</f>
        <v/>
      </c>
      <c r="B79" s="66" t="str">
        <f>IF(N79="","",INDEX(am_num,N79)&amp;"")</f>
        <v/>
      </c>
      <c r="C79" s="67" t="str">
        <f>IF(N79="","",INDEX(am_step,N79)&amp;"")</f>
        <v/>
      </c>
      <c r="D79" s="67" t="str">
        <f>IF(N79="","",INDEX(am_mode,N79)&amp;"")</f>
        <v/>
      </c>
      <c r="E79" s="65" t="str">
        <f>IF(N79="","",INDEX(am_ipr,N79))</f>
        <v/>
      </c>
      <c r="F79" s="65" t="str">
        <f>IF(N79="","",INDEX(am_crit,N79)&amp;"")</f>
        <v/>
      </c>
      <c r="G79" s="67" t="str">
        <f>IF(N79="","",INDEX(am_action,N79)&amp;"")</f>
        <v/>
      </c>
      <c r="H79" s="67" t="str">
        <f>IF(N79="","",INDEX(am_who,N79)&amp;"")</f>
        <v/>
      </c>
      <c r="I79" s="68" t="str">
        <f>IF(N79="","",IF(N(INDEX(am_due,N79))&gt;0,INDEX(am_due,N79),""))</f>
        <v/>
      </c>
      <c r="J79" s="65" t="str">
        <f>IF(N79="","",INDEX(am_status,N79)&amp;"")</f>
        <v/>
      </c>
      <c r="K79" s="65" t="str">
        <f>IF(N79="","",INDEX(am_suivi,N79)&amp;"")</f>
        <v/>
      </c>
      <c r="L79" s="65" t="str">
        <f>IF(K79="En retard",p_today-I79,"")</f>
        <v/>
      </c>
      <c r="M79" s="69" t="str">
        <f>IF(N79="","",IF(ISNUMBER(INDEX(am_cost,N79)),INDEX(am_cost,N79),""))</f>
        <v/>
      </c>
      <c r="N79" s="66" t="str">
        <f>IFERROR(MATCH(SMALL(am_plankey,73),am_plankey,0),"")</f>
        <v/>
      </c>
    </row>
    <row r="80" ht="30" customHeight="1">
      <c r="A80" s="65" t="str">
        <f>IF(N80="","",74)</f>
        <v/>
      </c>
      <c r="B80" s="66" t="str">
        <f>IF(N80="","",INDEX(am_num,N80)&amp;"")</f>
        <v/>
      </c>
      <c r="C80" s="67" t="str">
        <f>IF(N80="","",INDEX(am_step,N80)&amp;"")</f>
        <v/>
      </c>
      <c r="D80" s="67" t="str">
        <f>IF(N80="","",INDEX(am_mode,N80)&amp;"")</f>
        <v/>
      </c>
      <c r="E80" s="65" t="str">
        <f>IF(N80="","",INDEX(am_ipr,N80))</f>
        <v/>
      </c>
      <c r="F80" s="65" t="str">
        <f>IF(N80="","",INDEX(am_crit,N80)&amp;"")</f>
        <v/>
      </c>
      <c r="G80" s="67" t="str">
        <f>IF(N80="","",INDEX(am_action,N80)&amp;"")</f>
        <v/>
      </c>
      <c r="H80" s="67" t="str">
        <f>IF(N80="","",INDEX(am_who,N80)&amp;"")</f>
        <v/>
      </c>
      <c r="I80" s="68" t="str">
        <f>IF(N80="","",IF(N(INDEX(am_due,N80))&gt;0,INDEX(am_due,N80),""))</f>
        <v/>
      </c>
      <c r="J80" s="65" t="str">
        <f>IF(N80="","",INDEX(am_status,N80)&amp;"")</f>
        <v/>
      </c>
      <c r="K80" s="65" t="str">
        <f>IF(N80="","",INDEX(am_suivi,N80)&amp;"")</f>
        <v/>
      </c>
      <c r="L80" s="65" t="str">
        <f>IF(K80="En retard",p_today-I80,"")</f>
        <v/>
      </c>
      <c r="M80" s="69" t="str">
        <f>IF(N80="","",IF(ISNUMBER(INDEX(am_cost,N80)),INDEX(am_cost,N80),""))</f>
        <v/>
      </c>
      <c r="N80" s="66" t="str">
        <f>IFERROR(MATCH(SMALL(am_plankey,74),am_plankey,0),"")</f>
        <v/>
      </c>
    </row>
    <row r="81" ht="30" customHeight="1">
      <c r="A81" s="65" t="str">
        <f>IF(N81="","",75)</f>
        <v/>
      </c>
      <c r="B81" s="66" t="str">
        <f>IF(N81="","",INDEX(am_num,N81)&amp;"")</f>
        <v/>
      </c>
      <c r="C81" s="67" t="str">
        <f>IF(N81="","",INDEX(am_step,N81)&amp;"")</f>
        <v/>
      </c>
      <c r="D81" s="67" t="str">
        <f>IF(N81="","",INDEX(am_mode,N81)&amp;"")</f>
        <v/>
      </c>
      <c r="E81" s="65" t="str">
        <f>IF(N81="","",INDEX(am_ipr,N81))</f>
        <v/>
      </c>
      <c r="F81" s="65" t="str">
        <f>IF(N81="","",INDEX(am_crit,N81)&amp;"")</f>
        <v/>
      </c>
      <c r="G81" s="67" t="str">
        <f>IF(N81="","",INDEX(am_action,N81)&amp;"")</f>
        <v/>
      </c>
      <c r="H81" s="67" t="str">
        <f>IF(N81="","",INDEX(am_who,N81)&amp;"")</f>
        <v/>
      </c>
      <c r="I81" s="68" t="str">
        <f>IF(N81="","",IF(N(INDEX(am_due,N81))&gt;0,INDEX(am_due,N81),""))</f>
        <v/>
      </c>
      <c r="J81" s="65" t="str">
        <f>IF(N81="","",INDEX(am_status,N81)&amp;"")</f>
        <v/>
      </c>
      <c r="K81" s="65" t="str">
        <f>IF(N81="","",INDEX(am_suivi,N81)&amp;"")</f>
        <v/>
      </c>
      <c r="L81" s="65" t="str">
        <f>IF(K81="En retard",p_today-I81,"")</f>
        <v/>
      </c>
      <c r="M81" s="69" t="str">
        <f>IF(N81="","",IF(ISNUMBER(INDEX(am_cost,N81)),INDEX(am_cost,N81),""))</f>
        <v/>
      </c>
      <c r="N81" s="66" t="str">
        <f>IFERROR(MATCH(SMALL(am_plankey,75),am_plankey,0),"")</f>
        <v/>
      </c>
    </row>
    <row r="82" ht="30" customHeight="1">
      <c r="A82" s="65" t="str">
        <f>IF(N82="","",76)</f>
        <v/>
      </c>
      <c r="B82" s="66" t="str">
        <f>IF(N82="","",INDEX(am_num,N82)&amp;"")</f>
        <v/>
      </c>
      <c r="C82" s="67" t="str">
        <f>IF(N82="","",INDEX(am_step,N82)&amp;"")</f>
        <v/>
      </c>
      <c r="D82" s="67" t="str">
        <f>IF(N82="","",INDEX(am_mode,N82)&amp;"")</f>
        <v/>
      </c>
      <c r="E82" s="65" t="str">
        <f>IF(N82="","",INDEX(am_ipr,N82))</f>
        <v/>
      </c>
      <c r="F82" s="65" t="str">
        <f>IF(N82="","",INDEX(am_crit,N82)&amp;"")</f>
        <v/>
      </c>
      <c r="G82" s="67" t="str">
        <f>IF(N82="","",INDEX(am_action,N82)&amp;"")</f>
        <v/>
      </c>
      <c r="H82" s="67" t="str">
        <f>IF(N82="","",INDEX(am_who,N82)&amp;"")</f>
        <v/>
      </c>
      <c r="I82" s="68" t="str">
        <f>IF(N82="","",IF(N(INDEX(am_due,N82))&gt;0,INDEX(am_due,N82),""))</f>
        <v/>
      </c>
      <c r="J82" s="65" t="str">
        <f>IF(N82="","",INDEX(am_status,N82)&amp;"")</f>
        <v/>
      </c>
      <c r="K82" s="65" t="str">
        <f>IF(N82="","",INDEX(am_suivi,N82)&amp;"")</f>
        <v/>
      </c>
      <c r="L82" s="65" t="str">
        <f>IF(K82="En retard",p_today-I82,"")</f>
        <v/>
      </c>
      <c r="M82" s="69" t="str">
        <f>IF(N82="","",IF(ISNUMBER(INDEX(am_cost,N82)),INDEX(am_cost,N82),""))</f>
        <v/>
      </c>
      <c r="N82" s="66" t="str">
        <f>IFERROR(MATCH(SMALL(am_plankey,76),am_plankey,0),"")</f>
        <v/>
      </c>
    </row>
    <row r="83" ht="30" customHeight="1">
      <c r="A83" s="65" t="str">
        <f>IF(N83="","",77)</f>
        <v/>
      </c>
      <c r="B83" s="66" t="str">
        <f>IF(N83="","",INDEX(am_num,N83)&amp;"")</f>
        <v/>
      </c>
      <c r="C83" s="67" t="str">
        <f>IF(N83="","",INDEX(am_step,N83)&amp;"")</f>
        <v/>
      </c>
      <c r="D83" s="67" t="str">
        <f>IF(N83="","",INDEX(am_mode,N83)&amp;"")</f>
        <v/>
      </c>
      <c r="E83" s="65" t="str">
        <f>IF(N83="","",INDEX(am_ipr,N83))</f>
        <v/>
      </c>
      <c r="F83" s="65" t="str">
        <f>IF(N83="","",INDEX(am_crit,N83)&amp;"")</f>
        <v/>
      </c>
      <c r="G83" s="67" t="str">
        <f>IF(N83="","",INDEX(am_action,N83)&amp;"")</f>
        <v/>
      </c>
      <c r="H83" s="67" t="str">
        <f>IF(N83="","",INDEX(am_who,N83)&amp;"")</f>
        <v/>
      </c>
      <c r="I83" s="68" t="str">
        <f>IF(N83="","",IF(N(INDEX(am_due,N83))&gt;0,INDEX(am_due,N83),""))</f>
        <v/>
      </c>
      <c r="J83" s="65" t="str">
        <f>IF(N83="","",INDEX(am_status,N83)&amp;"")</f>
        <v/>
      </c>
      <c r="K83" s="65" t="str">
        <f>IF(N83="","",INDEX(am_suivi,N83)&amp;"")</f>
        <v/>
      </c>
      <c r="L83" s="65" t="str">
        <f>IF(K83="En retard",p_today-I83,"")</f>
        <v/>
      </c>
      <c r="M83" s="69" t="str">
        <f>IF(N83="","",IF(ISNUMBER(INDEX(am_cost,N83)),INDEX(am_cost,N83),""))</f>
        <v/>
      </c>
      <c r="N83" s="66" t="str">
        <f>IFERROR(MATCH(SMALL(am_plankey,77),am_plankey,0),"")</f>
        <v/>
      </c>
    </row>
    <row r="84" ht="30" customHeight="1">
      <c r="A84" s="65" t="str">
        <f>IF(N84="","",78)</f>
        <v/>
      </c>
      <c r="B84" s="66" t="str">
        <f>IF(N84="","",INDEX(am_num,N84)&amp;"")</f>
        <v/>
      </c>
      <c r="C84" s="67" t="str">
        <f>IF(N84="","",INDEX(am_step,N84)&amp;"")</f>
        <v/>
      </c>
      <c r="D84" s="67" t="str">
        <f>IF(N84="","",INDEX(am_mode,N84)&amp;"")</f>
        <v/>
      </c>
      <c r="E84" s="65" t="str">
        <f>IF(N84="","",INDEX(am_ipr,N84))</f>
        <v/>
      </c>
      <c r="F84" s="65" t="str">
        <f>IF(N84="","",INDEX(am_crit,N84)&amp;"")</f>
        <v/>
      </c>
      <c r="G84" s="67" t="str">
        <f>IF(N84="","",INDEX(am_action,N84)&amp;"")</f>
        <v/>
      </c>
      <c r="H84" s="67" t="str">
        <f>IF(N84="","",INDEX(am_who,N84)&amp;"")</f>
        <v/>
      </c>
      <c r="I84" s="68" t="str">
        <f>IF(N84="","",IF(N(INDEX(am_due,N84))&gt;0,INDEX(am_due,N84),""))</f>
        <v/>
      </c>
      <c r="J84" s="65" t="str">
        <f>IF(N84="","",INDEX(am_status,N84)&amp;"")</f>
        <v/>
      </c>
      <c r="K84" s="65" t="str">
        <f>IF(N84="","",INDEX(am_suivi,N84)&amp;"")</f>
        <v/>
      </c>
      <c r="L84" s="65" t="str">
        <f>IF(K84="En retard",p_today-I84,"")</f>
        <v/>
      </c>
      <c r="M84" s="69" t="str">
        <f>IF(N84="","",IF(ISNUMBER(INDEX(am_cost,N84)),INDEX(am_cost,N84),""))</f>
        <v/>
      </c>
      <c r="N84" s="66" t="str">
        <f>IFERROR(MATCH(SMALL(am_plankey,78),am_plankey,0),"")</f>
        <v/>
      </c>
    </row>
    <row r="85" ht="30" customHeight="1">
      <c r="A85" s="65" t="str">
        <f>IF(N85="","",79)</f>
        <v/>
      </c>
      <c r="B85" s="66" t="str">
        <f>IF(N85="","",INDEX(am_num,N85)&amp;"")</f>
        <v/>
      </c>
      <c r="C85" s="67" t="str">
        <f>IF(N85="","",INDEX(am_step,N85)&amp;"")</f>
        <v/>
      </c>
      <c r="D85" s="67" t="str">
        <f>IF(N85="","",INDEX(am_mode,N85)&amp;"")</f>
        <v/>
      </c>
      <c r="E85" s="65" t="str">
        <f>IF(N85="","",INDEX(am_ipr,N85))</f>
        <v/>
      </c>
      <c r="F85" s="65" t="str">
        <f>IF(N85="","",INDEX(am_crit,N85)&amp;"")</f>
        <v/>
      </c>
      <c r="G85" s="67" t="str">
        <f>IF(N85="","",INDEX(am_action,N85)&amp;"")</f>
        <v/>
      </c>
      <c r="H85" s="67" t="str">
        <f>IF(N85="","",INDEX(am_who,N85)&amp;"")</f>
        <v/>
      </c>
      <c r="I85" s="68" t="str">
        <f>IF(N85="","",IF(N(INDEX(am_due,N85))&gt;0,INDEX(am_due,N85),""))</f>
        <v/>
      </c>
      <c r="J85" s="65" t="str">
        <f>IF(N85="","",INDEX(am_status,N85)&amp;"")</f>
        <v/>
      </c>
      <c r="K85" s="65" t="str">
        <f>IF(N85="","",INDEX(am_suivi,N85)&amp;"")</f>
        <v/>
      </c>
      <c r="L85" s="65" t="str">
        <f>IF(K85="En retard",p_today-I85,"")</f>
        <v/>
      </c>
      <c r="M85" s="69" t="str">
        <f>IF(N85="","",IF(ISNUMBER(INDEX(am_cost,N85)),INDEX(am_cost,N85),""))</f>
        <v/>
      </c>
      <c r="N85" s="66" t="str">
        <f>IFERROR(MATCH(SMALL(am_plankey,79),am_plankey,0),"")</f>
        <v/>
      </c>
    </row>
    <row r="86" ht="30" customHeight="1">
      <c r="A86" s="65" t="str">
        <f>IF(N86="","",80)</f>
        <v/>
      </c>
      <c r="B86" s="66" t="str">
        <f>IF(N86="","",INDEX(am_num,N86)&amp;"")</f>
        <v/>
      </c>
      <c r="C86" s="67" t="str">
        <f>IF(N86="","",INDEX(am_step,N86)&amp;"")</f>
        <v/>
      </c>
      <c r="D86" s="67" t="str">
        <f>IF(N86="","",INDEX(am_mode,N86)&amp;"")</f>
        <v/>
      </c>
      <c r="E86" s="65" t="str">
        <f>IF(N86="","",INDEX(am_ipr,N86))</f>
        <v/>
      </c>
      <c r="F86" s="65" t="str">
        <f>IF(N86="","",INDEX(am_crit,N86)&amp;"")</f>
        <v/>
      </c>
      <c r="G86" s="67" t="str">
        <f>IF(N86="","",INDEX(am_action,N86)&amp;"")</f>
        <v/>
      </c>
      <c r="H86" s="67" t="str">
        <f>IF(N86="","",INDEX(am_who,N86)&amp;"")</f>
        <v/>
      </c>
      <c r="I86" s="68" t="str">
        <f>IF(N86="","",IF(N(INDEX(am_due,N86))&gt;0,INDEX(am_due,N86),""))</f>
        <v/>
      </c>
      <c r="J86" s="65" t="str">
        <f>IF(N86="","",INDEX(am_status,N86)&amp;"")</f>
        <v/>
      </c>
      <c r="K86" s="65" t="str">
        <f>IF(N86="","",INDEX(am_suivi,N86)&amp;"")</f>
        <v/>
      </c>
      <c r="L86" s="65" t="str">
        <f>IF(K86="En retard",p_today-I86,"")</f>
        <v/>
      </c>
      <c r="M86" s="69" t="str">
        <f>IF(N86="","",IF(ISNUMBER(INDEX(am_cost,N86)),INDEX(am_cost,N86),""))</f>
        <v/>
      </c>
      <c r="N86" s="66" t="str">
        <f>IFERROR(MATCH(SMALL(am_plankey,80),am_plankey,0),"")</f>
        <v/>
      </c>
    </row>
    <row r="87" ht="30" customHeight="1">
      <c r="A87" s="65" t="str">
        <f>IF(N87="","",81)</f>
        <v/>
      </c>
      <c r="B87" s="66" t="str">
        <f>IF(N87="","",INDEX(am_num,N87)&amp;"")</f>
        <v/>
      </c>
      <c r="C87" s="67" t="str">
        <f>IF(N87="","",INDEX(am_step,N87)&amp;"")</f>
        <v/>
      </c>
      <c r="D87" s="67" t="str">
        <f>IF(N87="","",INDEX(am_mode,N87)&amp;"")</f>
        <v/>
      </c>
      <c r="E87" s="65" t="str">
        <f>IF(N87="","",INDEX(am_ipr,N87))</f>
        <v/>
      </c>
      <c r="F87" s="65" t="str">
        <f>IF(N87="","",INDEX(am_crit,N87)&amp;"")</f>
        <v/>
      </c>
      <c r="G87" s="67" t="str">
        <f>IF(N87="","",INDEX(am_action,N87)&amp;"")</f>
        <v/>
      </c>
      <c r="H87" s="67" t="str">
        <f>IF(N87="","",INDEX(am_who,N87)&amp;"")</f>
        <v/>
      </c>
      <c r="I87" s="68" t="str">
        <f>IF(N87="","",IF(N(INDEX(am_due,N87))&gt;0,INDEX(am_due,N87),""))</f>
        <v/>
      </c>
      <c r="J87" s="65" t="str">
        <f>IF(N87="","",INDEX(am_status,N87)&amp;"")</f>
        <v/>
      </c>
      <c r="K87" s="65" t="str">
        <f>IF(N87="","",INDEX(am_suivi,N87)&amp;"")</f>
        <v/>
      </c>
      <c r="L87" s="65" t="str">
        <f>IF(K87="En retard",p_today-I87,"")</f>
        <v/>
      </c>
      <c r="M87" s="69" t="str">
        <f>IF(N87="","",IF(ISNUMBER(INDEX(am_cost,N87)),INDEX(am_cost,N87),""))</f>
        <v/>
      </c>
      <c r="N87" s="66" t="str">
        <f>IFERROR(MATCH(SMALL(am_plankey,81),am_plankey,0),"")</f>
        <v/>
      </c>
    </row>
    <row r="88" ht="30" customHeight="1">
      <c r="A88" s="65" t="str">
        <f>IF(N88="","",82)</f>
        <v/>
      </c>
      <c r="B88" s="66" t="str">
        <f>IF(N88="","",INDEX(am_num,N88)&amp;"")</f>
        <v/>
      </c>
      <c r="C88" s="67" t="str">
        <f>IF(N88="","",INDEX(am_step,N88)&amp;"")</f>
        <v/>
      </c>
      <c r="D88" s="67" t="str">
        <f>IF(N88="","",INDEX(am_mode,N88)&amp;"")</f>
        <v/>
      </c>
      <c r="E88" s="65" t="str">
        <f>IF(N88="","",INDEX(am_ipr,N88))</f>
        <v/>
      </c>
      <c r="F88" s="65" t="str">
        <f>IF(N88="","",INDEX(am_crit,N88)&amp;"")</f>
        <v/>
      </c>
      <c r="G88" s="67" t="str">
        <f>IF(N88="","",INDEX(am_action,N88)&amp;"")</f>
        <v/>
      </c>
      <c r="H88" s="67" t="str">
        <f>IF(N88="","",INDEX(am_who,N88)&amp;"")</f>
        <v/>
      </c>
      <c r="I88" s="68" t="str">
        <f>IF(N88="","",IF(N(INDEX(am_due,N88))&gt;0,INDEX(am_due,N88),""))</f>
        <v/>
      </c>
      <c r="J88" s="65" t="str">
        <f>IF(N88="","",INDEX(am_status,N88)&amp;"")</f>
        <v/>
      </c>
      <c r="K88" s="65" t="str">
        <f>IF(N88="","",INDEX(am_suivi,N88)&amp;"")</f>
        <v/>
      </c>
      <c r="L88" s="65" t="str">
        <f>IF(K88="En retard",p_today-I88,"")</f>
        <v/>
      </c>
      <c r="M88" s="69" t="str">
        <f>IF(N88="","",IF(ISNUMBER(INDEX(am_cost,N88)),INDEX(am_cost,N88),""))</f>
        <v/>
      </c>
      <c r="N88" s="66" t="str">
        <f>IFERROR(MATCH(SMALL(am_plankey,82),am_plankey,0),"")</f>
        <v/>
      </c>
    </row>
    <row r="89" ht="30" customHeight="1">
      <c r="A89" s="65" t="str">
        <f>IF(N89="","",83)</f>
        <v/>
      </c>
      <c r="B89" s="66" t="str">
        <f>IF(N89="","",INDEX(am_num,N89)&amp;"")</f>
        <v/>
      </c>
      <c r="C89" s="67" t="str">
        <f>IF(N89="","",INDEX(am_step,N89)&amp;"")</f>
        <v/>
      </c>
      <c r="D89" s="67" t="str">
        <f>IF(N89="","",INDEX(am_mode,N89)&amp;"")</f>
        <v/>
      </c>
      <c r="E89" s="65" t="str">
        <f>IF(N89="","",INDEX(am_ipr,N89))</f>
        <v/>
      </c>
      <c r="F89" s="65" t="str">
        <f>IF(N89="","",INDEX(am_crit,N89)&amp;"")</f>
        <v/>
      </c>
      <c r="G89" s="67" t="str">
        <f>IF(N89="","",INDEX(am_action,N89)&amp;"")</f>
        <v/>
      </c>
      <c r="H89" s="67" t="str">
        <f>IF(N89="","",INDEX(am_who,N89)&amp;"")</f>
        <v/>
      </c>
      <c r="I89" s="68" t="str">
        <f>IF(N89="","",IF(N(INDEX(am_due,N89))&gt;0,INDEX(am_due,N89),""))</f>
        <v/>
      </c>
      <c r="J89" s="65" t="str">
        <f>IF(N89="","",INDEX(am_status,N89)&amp;"")</f>
        <v/>
      </c>
      <c r="K89" s="65" t="str">
        <f>IF(N89="","",INDEX(am_suivi,N89)&amp;"")</f>
        <v/>
      </c>
      <c r="L89" s="65" t="str">
        <f>IF(K89="En retard",p_today-I89,"")</f>
        <v/>
      </c>
      <c r="M89" s="69" t="str">
        <f>IF(N89="","",IF(ISNUMBER(INDEX(am_cost,N89)),INDEX(am_cost,N89),""))</f>
        <v/>
      </c>
      <c r="N89" s="66" t="str">
        <f>IFERROR(MATCH(SMALL(am_plankey,83),am_plankey,0),"")</f>
        <v/>
      </c>
    </row>
    <row r="90" ht="30" customHeight="1">
      <c r="A90" s="65" t="str">
        <f>IF(N90="","",84)</f>
        <v/>
      </c>
      <c r="B90" s="66" t="str">
        <f>IF(N90="","",INDEX(am_num,N90)&amp;"")</f>
        <v/>
      </c>
      <c r="C90" s="67" t="str">
        <f>IF(N90="","",INDEX(am_step,N90)&amp;"")</f>
        <v/>
      </c>
      <c r="D90" s="67" t="str">
        <f>IF(N90="","",INDEX(am_mode,N90)&amp;"")</f>
        <v/>
      </c>
      <c r="E90" s="65" t="str">
        <f>IF(N90="","",INDEX(am_ipr,N90))</f>
        <v/>
      </c>
      <c r="F90" s="65" t="str">
        <f>IF(N90="","",INDEX(am_crit,N90)&amp;"")</f>
        <v/>
      </c>
      <c r="G90" s="67" t="str">
        <f>IF(N90="","",INDEX(am_action,N90)&amp;"")</f>
        <v/>
      </c>
      <c r="H90" s="67" t="str">
        <f>IF(N90="","",INDEX(am_who,N90)&amp;"")</f>
        <v/>
      </c>
      <c r="I90" s="68" t="str">
        <f>IF(N90="","",IF(N(INDEX(am_due,N90))&gt;0,INDEX(am_due,N90),""))</f>
        <v/>
      </c>
      <c r="J90" s="65" t="str">
        <f>IF(N90="","",INDEX(am_status,N90)&amp;"")</f>
        <v/>
      </c>
      <c r="K90" s="65" t="str">
        <f>IF(N90="","",INDEX(am_suivi,N90)&amp;"")</f>
        <v/>
      </c>
      <c r="L90" s="65" t="str">
        <f>IF(K90="En retard",p_today-I90,"")</f>
        <v/>
      </c>
      <c r="M90" s="69" t="str">
        <f>IF(N90="","",IF(ISNUMBER(INDEX(am_cost,N90)),INDEX(am_cost,N90),""))</f>
        <v/>
      </c>
      <c r="N90" s="66" t="str">
        <f>IFERROR(MATCH(SMALL(am_plankey,84),am_plankey,0),"")</f>
        <v/>
      </c>
    </row>
    <row r="91" ht="30" customHeight="1">
      <c r="A91" s="65" t="str">
        <f>IF(N91="","",85)</f>
        <v/>
      </c>
      <c r="B91" s="66" t="str">
        <f>IF(N91="","",INDEX(am_num,N91)&amp;"")</f>
        <v/>
      </c>
      <c r="C91" s="67" t="str">
        <f>IF(N91="","",INDEX(am_step,N91)&amp;"")</f>
        <v/>
      </c>
      <c r="D91" s="67" t="str">
        <f>IF(N91="","",INDEX(am_mode,N91)&amp;"")</f>
        <v/>
      </c>
      <c r="E91" s="65" t="str">
        <f>IF(N91="","",INDEX(am_ipr,N91))</f>
        <v/>
      </c>
      <c r="F91" s="65" t="str">
        <f>IF(N91="","",INDEX(am_crit,N91)&amp;"")</f>
        <v/>
      </c>
      <c r="G91" s="67" t="str">
        <f>IF(N91="","",INDEX(am_action,N91)&amp;"")</f>
        <v/>
      </c>
      <c r="H91" s="67" t="str">
        <f>IF(N91="","",INDEX(am_who,N91)&amp;"")</f>
        <v/>
      </c>
      <c r="I91" s="68" t="str">
        <f>IF(N91="","",IF(N(INDEX(am_due,N91))&gt;0,INDEX(am_due,N91),""))</f>
        <v/>
      </c>
      <c r="J91" s="65" t="str">
        <f>IF(N91="","",INDEX(am_status,N91)&amp;"")</f>
        <v/>
      </c>
      <c r="K91" s="65" t="str">
        <f>IF(N91="","",INDEX(am_suivi,N91)&amp;"")</f>
        <v/>
      </c>
      <c r="L91" s="65" t="str">
        <f>IF(K91="En retard",p_today-I91,"")</f>
        <v/>
      </c>
      <c r="M91" s="69" t="str">
        <f>IF(N91="","",IF(ISNUMBER(INDEX(am_cost,N91)),INDEX(am_cost,N91),""))</f>
        <v/>
      </c>
      <c r="N91" s="66" t="str">
        <f>IFERROR(MATCH(SMALL(am_plankey,85),am_plankey,0),"")</f>
        <v/>
      </c>
    </row>
    <row r="92" ht="30" customHeight="1">
      <c r="A92" s="65" t="str">
        <f>IF(N92="","",86)</f>
        <v/>
      </c>
      <c r="B92" s="66" t="str">
        <f>IF(N92="","",INDEX(am_num,N92)&amp;"")</f>
        <v/>
      </c>
      <c r="C92" s="67" t="str">
        <f>IF(N92="","",INDEX(am_step,N92)&amp;"")</f>
        <v/>
      </c>
      <c r="D92" s="67" t="str">
        <f>IF(N92="","",INDEX(am_mode,N92)&amp;"")</f>
        <v/>
      </c>
      <c r="E92" s="65" t="str">
        <f>IF(N92="","",INDEX(am_ipr,N92))</f>
        <v/>
      </c>
      <c r="F92" s="65" t="str">
        <f>IF(N92="","",INDEX(am_crit,N92)&amp;"")</f>
        <v/>
      </c>
      <c r="G92" s="67" t="str">
        <f>IF(N92="","",INDEX(am_action,N92)&amp;"")</f>
        <v/>
      </c>
      <c r="H92" s="67" t="str">
        <f>IF(N92="","",INDEX(am_who,N92)&amp;"")</f>
        <v/>
      </c>
      <c r="I92" s="68" t="str">
        <f>IF(N92="","",IF(N(INDEX(am_due,N92))&gt;0,INDEX(am_due,N92),""))</f>
        <v/>
      </c>
      <c r="J92" s="65" t="str">
        <f>IF(N92="","",INDEX(am_status,N92)&amp;"")</f>
        <v/>
      </c>
      <c r="K92" s="65" t="str">
        <f>IF(N92="","",INDEX(am_suivi,N92)&amp;"")</f>
        <v/>
      </c>
      <c r="L92" s="65" t="str">
        <f>IF(K92="En retard",p_today-I92,"")</f>
        <v/>
      </c>
      <c r="M92" s="69" t="str">
        <f>IF(N92="","",IF(ISNUMBER(INDEX(am_cost,N92)),INDEX(am_cost,N92),""))</f>
        <v/>
      </c>
      <c r="N92" s="66" t="str">
        <f>IFERROR(MATCH(SMALL(am_plankey,86),am_plankey,0),"")</f>
        <v/>
      </c>
    </row>
    <row r="93" ht="30" customHeight="1">
      <c r="A93" s="65" t="str">
        <f>IF(N93="","",87)</f>
        <v/>
      </c>
      <c r="B93" s="66" t="str">
        <f>IF(N93="","",INDEX(am_num,N93)&amp;"")</f>
        <v/>
      </c>
      <c r="C93" s="67" t="str">
        <f>IF(N93="","",INDEX(am_step,N93)&amp;"")</f>
        <v/>
      </c>
      <c r="D93" s="67" t="str">
        <f>IF(N93="","",INDEX(am_mode,N93)&amp;"")</f>
        <v/>
      </c>
      <c r="E93" s="65" t="str">
        <f>IF(N93="","",INDEX(am_ipr,N93))</f>
        <v/>
      </c>
      <c r="F93" s="65" t="str">
        <f>IF(N93="","",INDEX(am_crit,N93)&amp;"")</f>
        <v/>
      </c>
      <c r="G93" s="67" t="str">
        <f>IF(N93="","",INDEX(am_action,N93)&amp;"")</f>
        <v/>
      </c>
      <c r="H93" s="67" t="str">
        <f>IF(N93="","",INDEX(am_who,N93)&amp;"")</f>
        <v/>
      </c>
      <c r="I93" s="68" t="str">
        <f>IF(N93="","",IF(N(INDEX(am_due,N93))&gt;0,INDEX(am_due,N93),""))</f>
        <v/>
      </c>
      <c r="J93" s="65" t="str">
        <f>IF(N93="","",INDEX(am_status,N93)&amp;"")</f>
        <v/>
      </c>
      <c r="K93" s="65" t="str">
        <f>IF(N93="","",INDEX(am_suivi,N93)&amp;"")</f>
        <v/>
      </c>
      <c r="L93" s="65" t="str">
        <f>IF(K93="En retard",p_today-I93,"")</f>
        <v/>
      </c>
      <c r="M93" s="69" t="str">
        <f>IF(N93="","",IF(ISNUMBER(INDEX(am_cost,N93)),INDEX(am_cost,N93),""))</f>
        <v/>
      </c>
      <c r="N93" s="66" t="str">
        <f>IFERROR(MATCH(SMALL(am_plankey,87),am_plankey,0),"")</f>
        <v/>
      </c>
    </row>
    <row r="94" ht="30" customHeight="1">
      <c r="A94" s="65" t="str">
        <f>IF(N94="","",88)</f>
        <v/>
      </c>
      <c r="B94" s="66" t="str">
        <f>IF(N94="","",INDEX(am_num,N94)&amp;"")</f>
        <v/>
      </c>
      <c r="C94" s="67" t="str">
        <f>IF(N94="","",INDEX(am_step,N94)&amp;"")</f>
        <v/>
      </c>
      <c r="D94" s="67" t="str">
        <f>IF(N94="","",INDEX(am_mode,N94)&amp;"")</f>
        <v/>
      </c>
      <c r="E94" s="65" t="str">
        <f>IF(N94="","",INDEX(am_ipr,N94))</f>
        <v/>
      </c>
      <c r="F94" s="65" t="str">
        <f>IF(N94="","",INDEX(am_crit,N94)&amp;"")</f>
        <v/>
      </c>
      <c r="G94" s="67" t="str">
        <f>IF(N94="","",INDEX(am_action,N94)&amp;"")</f>
        <v/>
      </c>
      <c r="H94" s="67" t="str">
        <f>IF(N94="","",INDEX(am_who,N94)&amp;"")</f>
        <v/>
      </c>
      <c r="I94" s="68" t="str">
        <f>IF(N94="","",IF(N(INDEX(am_due,N94))&gt;0,INDEX(am_due,N94),""))</f>
        <v/>
      </c>
      <c r="J94" s="65" t="str">
        <f>IF(N94="","",INDEX(am_status,N94)&amp;"")</f>
        <v/>
      </c>
      <c r="K94" s="65" t="str">
        <f>IF(N94="","",INDEX(am_suivi,N94)&amp;"")</f>
        <v/>
      </c>
      <c r="L94" s="65" t="str">
        <f>IF(K94="En retard",p_today-I94,"")</f>
        <v/>
      </c>
      <c r="M94" s="69" t="str">
        <f>IF(N94="","",IF(ISNUMBER(INDEX(am_cost,N94)),INDEX(am_cost,N94),""))</f>
        <v/>
      </c>
      <c r="N94" s="66" t="str">
        <f>IFERROR(MATCH(SMALL(am_plankey,88),am_plankey,0),"")</f>
        <v/>
      </c>
    </row>
    <row r="95" ht="30" customHeight="1">
      <c r="A95" s="65" t="str">
        <f>IF(N95="","",89)</f>
        <v/>
      </c>
      <c r="B95" s="66" t="str">
        <f>IF(N95="","",INDEX(am_num,N95)&amp;"")</f>
        <v/>
      </c>
      <c r="C95" s="67" t="str">
        <f>IF(N95="","",INDEX(am_step,N95)&amp;"")</f>
        <v/>
      </c>
      <c r="D95" s="67" t="str">
        <f>IF(N95="","",INDEX(am_mode,N95)&amp;"")</f>
        <v/>
      </c>
      <c r="E95" s="65" t="str">
        <f>IF(N95="","",INDEX(am_ipr,N95))</f>
        <v/>
      </c>
      <c r="F95" s="65" t="str">
        <f>IF(N95="","",INDEX(am_crit,N95)&amp;"")</f>
        <v/>
      </c>
      <c r="G95" s="67" t="str">
        <f>IF(N95="","",INDEX(am_action,N95)&amp;"")</f>
        <v/>
      </c>
      <c r="H95" s="67" t="str">
        <f>IF(N95="","",INDEX(am_who,N95)&amp;"")</f>
        <v/>
      </c>
      <c r="I95" s="68" t="str">
        <f>IF(N95="","",IF(N(INDEX(am_due,N95))&gt;0,INDEX(am_due,N95),""))</f>
        <v/>
      </c>
      <c r="J95" s="65" t="str">
        <f>IF(N95="","",INDEX(am_status,N95)&amp;"")</f>
        <v/>
      </c>
      <c r="K95" s="65" t="str">
        <f>IF(N95="","",INDEX(am_suivi,N95)&amp;"")</f>
        <v/>
      </c>
      <c r="L95" s="65" t="str">
        <f>IF(K95="En retard",p_today-I95,"")</f>
        <v/>
      </c>
      <c r="M95" s="69" t="str">
        <f>IF(N95="","",IF(ISNUMBER(INDEX(am_cost,N95)),INDEX(am_cost,N95),""))</f>
        <v/>
      </c>
      <c r="N95" s="66" t="str">
        <f>IFERROR(MATCH(SMALL(am_plankey,89),am_plankey,0),"")</f>
        <v/>
      </c>
    </row>
    <row r="96" ht="30" customHeight="1">
      <c r="A96" s="65" t="str">
        <f>IF(N96="","",90)</f>
        <v/>
      </c>
      <c r="B96" s="66" t="str">
        <f>IF(N96="","",INDEX(am_num,N96)&amp;"")</f>
        <v/>
      </c>
      <c r="C96" s="67" t="str">
        <f>IF(N96="","",INDEX(am_step,N96)&amp;"")</f>
        <v/>
      </c>
      <c r="D96" s="67" t="str">
        <f>IF(N96="","",INDEX(am_mode,N96)&amp;"")</f>
        <v/>
      </c>
      <c r="E96" s="65" t="str">
        <f>IF(N96="","",INDEX(am_ipr,N96))</f>
        <v/>
      </c>
      <c r="F96" s="65" t="str">
        <f>IF(N96="","",INDEX(am_crit,N96)&amp;"")</f>
        <v/>
      </c>
      <c r="G96" s="67" t="str">
        <f>IF(N96="","",INDEX(am_action,N96)&amp;"")</f>
        <v/>
      </c>
      <c r="H96" s="67" t="str">
        <f>IF(N96="","",INDEX(am_who,N96)&amp;"")</f>
        <v/>
      </c>
      <c r="I96" s="68" t="str">
        <f>IF(N96="","",IF(N(INDEX(am_due,N96))&gt;0,INDEX(am_due,N96),""))</f>
        <v/>
      </c>
      <c r="J96" s="65" t="str">
        <f>IF(N96="","",INDEX(am_status,N96)&amp;"")</f>
        <v/>
      </c>
      <c r="K96" s="65" t="str">
        <f>IF(N96="","",INDEX(am_suivi,N96)&amp;"")</f>
        <v/>
      </c>
      <c r="L96" s="65" t="str">
        <f>IF(K96="En retard",p_today-I96,"")</f>
        <v/>
      </c>
      <c r="M96" s="69" t="str">
        <f>IF(N96="","",IF(ISNUMBER(INDEX(am_cost,N96)),INDEX(am_cost,N96),""))</f>
        <v/>
      </c>
      <c r="N96" s="66" t="str">
        <f>IFERROR(MATCH(SMALL(am_plankey,90),am_plankey,0),"")</f>
        <v/>
      </c>
    </row>
    <row r="97" ht="30" customHeight="1">
      <c r="A97" s="65" t="str">
        <f>IF(N97="","",91)</f>
        <v/>
      </c>
      <c r="B97" s="66" t="str">
        <f>IF(N97="","",INDEX(am_num,N97)&amp;"")</f>
        <v/>
      </c>
      <c r="C97" s="67" t="str">
        <f>IF(N97="","",INDEX(am_step,N97)&amp;"")</f>
        <v/>
      </c>
      <c r="D97" s="67" t="str">
        <f>IF(N97="","",INDEX(am_mode,N97)&amp;"")</f>
        <v/>
      </c>
      <c r="E97" s="65" t="str">
        <f>IF(N97="","",INDEX(am_ipr,N97))</f>
        <v/>
      </c>
      <c r="F97" s="65" t="str">
        <f>IF(N97="","",INDEX(am_crit,N97)&amp;"")</f>
        <v/>
      </c>
      <c r="G97" s="67" t="str">
        <f>IF(N97="","",INDEX(am_action,N97)&amp;"")</f>
        <v/>
      </c>
      <c r="H97" s="67" t="str">
        <f>IF(N97="","",INDEX(am_who,N97)&amp;"")</f>
        <v/>
      </c>
      <c r="I97" s="68" t="str">
        <f>IF(N97="","",IF(N(INDEX(am_due,N97))&gt;0,INDEX(am_due,N97),""))</f>
        <v/>
      </c>
      <c r="J97" s="65" t="str">
        <f>IF(N97="","",INDEX(am_status,N97)&amp;"")</f>
        <v/>
      </c>
      <c r="K97" s="65" t="str">
        <f>IF(N97="","",INDEX(am_suivi,N97)&amp;"")</f>
        <v/>
      </c>
      <c r="L97" s="65" t="str">
        <f>IF(K97="En retard",p_today-I97,"")</f>
        <v/>
      </c>
      <c r="M97" s="69" t="str">
        <f>IF(N97="","",IF(ISNUMBER(INDEX(am_cost,N97)),INDEX(am_cost,N97),""))</f>
        <v/>
      </c>
      <c r="N97" s="66" t="str">
        <f>IFERROR(MATCH(SMALL(am_plankey,91),am_plankey,0),"")</f>
        <v/>
      </c>
    </row>
    <row r="98" ht="30" customHeight="1">
      <c r="A98" s="65" t="str">
        <f>IF(N98="","",92)</f>
        <v/>
      </c>
      <c r="B98" s="66" t="str">
        <f>IF(N98="","",INDEX(am_num,N98)&amp;"")</f>
        <v/>
      </c>
      <c r="C98" s="67" t="str">
        <f>IF(N98="","",INDEX(am_step,N98)&amp;"")</f>
        <v/>
      </c>
      <c r="D98" s="67" t="str">
        <f>IF(N98="","",INDEX(am_mode,N98)&amp;"")</f>
        <v/>
      </c>
      <c r="E98" s="65" t="str">
        <f>IF(N98="","",INDEX(am_ipr,N98))</f>
        <v/>
      </c>
      <c r="F98" s="65" t="str">
        <f>IF(N98="","",INDEX(am_crit,N98)&amp;"")</f>
        <v/>
      </c>
      <c r="G98" s="67" t="str">
        <f>IF(N98="","",INDEX(am_action,N98)&amp;"")</f>
        <v/>
      </c>
      <c r="H98" s="67" t="str">
        <f>IF(N98="","",INDEX(am_who,N98)&amp;"")</f>
        <v/>
      </c>
      <c r="I98" s="68" t="str">
        <f>IF(N98="","",IF(N(INDEX(am_due,N98))&gt;0,INDEX(am_due,N98),""))</f>
        <v/>
      </c>
      <c r="J98" s="65" t="str">
        <f>IF(N98="","",INDEX(am_status,N98)&amp;"")</f>
        <v/>
      </c>
      <c r="K98" s="65" t="str">
        <f>IF(N98="","",INDEX(am_suivi,N98)&amp;"")</f>
        <v/>
      </c>
      <c r="L98" s="65" t="str">
        <f>IF(K98="En retard",p_today-I98,"")</f>
        <v/>
      </c>
      <c r="M98" s="69" t="str">
        <f>IF(N98="","",IF(ISNUMBER(INDEX(am_cost,N98)),INDEX(am_cost,N98),""))</f>
        <v/>
      </c>
      <c r="N98" s="66" t="str">
        <f>IFERROR(MATCH(SMALL(am_plankey,92),am_plankey,0),"")</f>
        <v/>
      </c>
    </row>
    <row r="99" ht="30" customHeight="1">
      <c r="A99" s="65" t="str">
        <f>IF(N99="","",93)</f>
        <v/>
      </c>
      <c r="B99" s="66" t="str">
        <f>IF(N99="","",INDEX(am_num,N99)&amp;"")</f>
        <v/>
      </c>
      <c r="C99" s="67" t="str">
        <f>IF(N99="","",INDEX(am_step,N99)&amp;"")</f>
        <v/>
      </c>
      <c r="D99" s="67" t="str">
        <f>IF(N99="","",INDEX(am_mode,N99)&amp;"")</f>
        <v/>
      </c>
      <c r="E99" s="65" t="str">
        <f>IF(N99="","",INDEX(am_ipr,N99))</f>
        <v/>
      </c>
      <c r="F99" s="65" t="str">
        <f>IF(N99="","",INDEX(am_crit,N99)&amp;"")</f>
        <v/>
      </c>
      <c r="G99" s="67" t="str">
        <f>IF(N99="","",INDEX(am_action,N99)&amp;"")</f>
        <v/>
      </c>
      <c r="H99" s="67" t="str">
        <f>IF(N99="","",INDEX(am_who,N99)&amp;"")</f>
        <v/>
      </c>
      <c r="I99" s="68" t="str">
        <f>IF(N99="","",IF(N(INDEX(am_due,N99))&gt;0,INDEX(am_due,N99),""))</f>
        <v/>
      </c>
      <c r="J99" s="65" t="str">
        <f>IF(N99="","",INDEX(am_status,N99)&amp;"")</f>
        <v/>
      </c>
      <c r="K99" s="65" t="str">
        <f>IF(N99="","",INDEX(am_suivi,N99)&amp;"")</f>
        <v/>
      </c>
      <c r="L99" s="65" t="str">
        <f>IF(K99="En retard",p_today-I99,"")</f>
        <v/>
      </c>
      <c r="M99" s="69" t="str">
        <f>IF(N99="","",IF(ISNUMBER(INDEX(am_cost,N99)),INDEX(am_cost,N99),""))</f>
        <v/>
      </c>
      <c r="N99" s="66" t="str">
        <f>IFERROR(MATCH(SMALL(am_plankey,93),am_plankey,0),"")</f>
        <v/>
      </c>
    </row>
    <row r="100" ht="30" customHeight="1">
      <c r="A100" s="65" t="str">
        <f>IF(N100="","",94)</f>
        <v/>
      </c>
      <c r="B100" s="66" t="str">
        <f>IF(N100="","",INDEX(am_num,N100)&amp;"")</f>
        <v/>
      </c>
      <c r="C100" s="67" t="str">
        <f>IF(N100="","",INDEX(am_step,N100)&amp;"")</f>
        <v/>
      </c>
      <c r="D100" s="67" t="str">
        <f>IF(N100="","",INDEX(am_mode,N100)&amp;"")</f>
        <v/>
      </c>
      <c r="E100" s="65" t="str">
        <f>IF(N100="","",INDEX(am_ipr,N100))</f>
        <v/>
      </c>
      <c r="F100" s="65" t="str">
        <f>IF(N100="","",INDEX(am_crit,N100)&amp;"")</f>
        <v/>
      </c>
      <c r="G100" s="67" t="str">
        <f>IF(N100="","",INDEX(am_action,N100)&amp;"")</f>
        <v/>
      </c>
      <c r="H100" s="67" t="str">
        <f>IF(N100="","",INDEX(am_who,N100)&amp;"")</f>
        <v/>
      </c>
      <c r="I100" s="68" t="str">
        <f>IF(N100="","",IF(N(INDEX(am_due,N100))&gt;0,INDEX(am_due,N100),""))</f>
        <v/>
      </c>
      <c r="J100" s="65" t="str">
        <f>IF(N100="","",INDEX(am_status,N100)&amp;"")</f>
        <v/>
      </c>
      <c r="K100" s="65" t="str">
        <f>IF(N100="","",INDEX(am_suivi,N100)&amp;"")</f>
        <v/>
      </c>
      <c r="L100" s="65" t="str">
        <f>IF(K100="En retard",p_today-I100,"")</f>
        <v/>
      </c>
      <c r="M100" s="69" t="str">
        <f>IF(N100="","",IF(ISNUMBER(INDEX(am_cost,N100)),INDEX(am_cost,N100),""))</f>
        <v/>
      </c>
      <c r="N100" s="66" t="str">
        <f>IFERROR(MATCH(SMALL(am_plankey,94),am_plankey,0),"")</f>
        <v/>
      </c>
    </row>
    <row r="101" ht="30" customHeight="1">
      <c r="A101" s="65" t="str">
        <f>IF(N101="","",95)</f>
        <v/>
      </c>
      <c r="B101" s="66" t="str">
        <f>IF(N101="","",INDEX(am_num,N101)&amp;"")</f>
        <v/>
      </c>
      <c r="C101" s="67" t="str">
        <f>IF(N101="","",INDEX(am_step,N101)&amp;"")</f>
        <v/>
      </c>
      <c r="D101" s="67" t="str">
        <f>IF(N101="","",INDEX(am_mode,N101)&amp;"")</f>
        <v/>
      </c>
      <c r="E101" s="65" t="str">
        <f>IF(N101="","",INDEX(am_ipr,N101))</f>
        <v/>
      </c>
      <c r="F101" s="65" t="str">
        <f>IF(N101="","",INDEX(am_crit,N101)&amp;"")</f>
        <v/>
      </c>
      <c r="G101" s="67" t="str">
        <f>IF(N101="","",INDEX(am_action,N101)&amp;"")</f>
        <v/>
      </c>
      <c r="H101" s="67" t="str">
        <f>IF(N101="","",INDEX(am_who,N101)&amp;"")</f>
        <v/>
      </c>
      <c r="I101" s="68" t="str">
        <f>IF(N101="","",IF(N(INDEX(am_due,N101))&gt;0,INDEX(am_due,N101),""))</f>
        <v/>
      </c>
      <c r="J101" s="65" t="str">
        <f>IF(N101="","",INDEX(am_status,N101)&amp;"")</f>
        <v/>
      </c>
      <c r="K101" s="65" t="str">
        <f>IF(N101="","",INDEX(am_suivi,N101)&amp;"")</f>
        <v/>
      </c>
      <c r="L101" s="65" t="str">
        <f>IF(K101="En retard",p_today-I101,"")</f>
        <v/>
      </c>
      <c r="M101" s="69" t="str">
        <f>IF(N101="","",IF(ISNUMBER(INDEX(am_cost,N101)),INDEX(am_cost,N101),""))</f>
        <v/>
      </c>
      <c r="N101" s="66" t="str">
        <f>IFERROR(MATCH(SMALL(am_plankey,95),am_plankey,0),"")</f>
        <v/>
      </c>
    </row>
    <row r="102" ht="30" customHeight="1">
      <c r="A102" s="65" t="str">
        <f>IF(N102="","",96)</f>
        <v/>
      </c>
      <c r="B102" s="66" t="str">
        <f>IF(N102="","",INDEX(am_num,N102)&amp;"")</f>
        <v/>
      </c>
      <c r="C102" s="67" t="str">
        <f>IF(N102="","",INDEX(am_step,N102)&amp;"")</f>
        <v/>
      </c>
      <c r="D102" s="67" t="str">
        <f>IF(N102="","",INDEX(am_mode,N102)&amp;"")</f>
        <v/>
      </c>
      <c r="E102" s="65" t="str">
        <f>IF(N102="","",INDEX(am_ipr,N102))</f>
        <v/>
      </c>
      <c r="F102" s="65" t="str">
        <f>IF(N102="","",INDEX(am_crit,N102)&amp;"")</f>
        <v/>
      </c>
      <c r="G102" s="67" t="str">
        <f>IF(N102="","",INDEX(am_action,N102)&amp;"")</f>
        <v/>
      </c>
      <c r="H102" s="67" t="str">
        <f>IF(N102="","",INDEX(am_who,N102)&amp;"")</f>
        <v/>
      </c>
      <c r="I102" s="68" t="str">
        <f>IF(N102="","",IF(N(INDEX(am_due,N102))&gt;0,INDEX(am_due,N102),""))</f>
        <v/>
      </c>
      <c r="J102" s="65" t="str">
        <f>IF(N102="","",INDEX(am_status,N102)&amp;"")</f>
        <v/>
      </c>
      <c r="K102" s="65" t="str">
        <f>IF(N102="","",INDEX(am_suivi,N102)&amp;"")</f>
        <v/>
      </c>
      <c r="L102" s="65" t="str">
        <f>IF(K102="En retard",p_today-I102,"")</f>
        <v/>
      </c>
      <c r="M102" s="69" t="str">
        <f>IF(N102="","",IF(ISNUMBER(INDEX(am_cost,N102)),INDEX(am_cost,N102),""))</f>
        <v/>
      </c>
      <c r="N102" s="66" t="str">
        <f>IFERROR(MATCH(SMALL(am_plankey,96),am_plankey,0),"")</f>
        <v/>
      </c>
    </row>
    <row r="103" ht="30" customHeight="1">
      <c r="A103" s="65" t="str">
        <f>IF(N103="","",97)</f>
        <v/>
      </c>
      <c r="B103" s="66" t="str">
        <f>IF(N103="","",INDEX(am_num,N103)&amp;"")</f>
        <v/>
      </c>
      <c r="C103" s="67" t="str">
        <f>IF(N103="","",INDEX(am_step,N103)&amp;"")</f>
        <v/>
      </c>
      <c r="D103" s="67" t="str">
        <f>IF(N103="","",INDEX(am_mode,N103)&amp;"")</f>
        <v/>
      </c>
      <c r="E103" s="65" t="str">
        <f>IF(N103="","",INDEX(am_ipr,N103))</f>
        <v/>
      </c>
      <c r="F103" s="65" t="str">
        <f>IF(N103="","",INDEX(am_crit,N103)&amp;"")</f>
        <v/>
      </c>
      <c r="G103" s="67" t="str">
        <f>IF(N103="","",INDEX(am_action,N103)&amp;"")</f>
        <v/>
      </c>
      <c r="H103" s="67" t="str">
        <f>IF(N103="","",INDEX(am_who,N103)&amp;"")</f>
        <v/>
      </c>
      <c r="I103" s="68" t="str">
        <f>IF(N103="","",IF(N(INDEX(am_due,N103))&gt;0,INDEX(am_due,N103),""))</f>
        <v/>
      </c>
      <c r="J103" s="65" t="str">
        <f>IF(N103="","",INDEX(am_status,N103)&amp;"")</f>
        <v/>
      </c>
      <c r="K103" s="65" t="str">
        <f>IF(N103="","",INDEX(am_suivi,N103)&amp;"")</f>
        <v/>
      </c>
      <c r="L103" s="65" t="str">
        <f>IF(K103="En retard",p_today-I103,"")</f>
        <v/>
      </c>
      <c r="M103" s="69" t="str">
        <f>IF(N103="","",IF(ISNUMBER(INDEX(am_cost,N103)),INDEX(am_cost,N103),""))</f>
        <v/>
      </c>
      <c r="N103" s="66" t="str">
        <f>IFERROR(MATCH(SMALL(am_plankey,97),am_plankey,0),"")</f>
        <v/>
      </c>
    </row>
    <row r="104" ht="30" customHeight="1">
      <c r="A104" s="65" t="str">
        <f>IF(N104="","",98)</f>
        <v/>
      </c>
      <c r="B104" s="66" t="str">
        <f>IF(N104="","",INDEX(am_num,N104)&amp;"")</f>
        <v/>
      </c>
      <c r="C104" s="67" t="str">
        <f>IF(N104="","",INDEX(am_step,N104)&amp;"")</f>
        <v/>
      </c>
      <c r="D104" s="67" t="str">
        <f>IF(N104="","",INDEX(am_mode,N104)&amp;"")</f>
        <v/>
      </c>
      <c r="E104" s="65" t="str">
        <f>IF(N104="","",INDEX(am_ipr,N104))</f>
        <v/>
      </c>
      <c r="F104" s="65" t="str">
        <f>IF(N104="","",INDEX(am_crit,N104)&amp;"")</f>
        <v/>
      </c>
      <c r="G104" s="67" t="str">
        <f>IF(N104="","",INDEX(am_action,N104)&amp;"")</f>
        <v/>
      </c>
      <c r="H104" s="67" t="str">
        <f>IF(N104="","",INDEX(am_who,N104)&amp;"")</f>
        <v/>
      </c>
      <c r="I104" s="68" t="str">
        <f>IF(N104="","",IF(N(INDEX(am_due,N104))&gt;0,INDEX(am_due,N104),""))</f>
        <v/>
      </c>
      <c r="J104" s="65" t="str">
        <f>IF(N104="","",INDEX(am_status,N104)&amp;"")</f>
        <v/>
      </c>
      <c r="K104" s="65" t="str">
        <f>IF(N104="","",INDEX(am_suivi,N104)&amp;"")</f>
        <v/>
      </c>
      <c r="L104" s="65" t="str">
        <f>IF(K104="En retard",p_today-I104,"")</f>
        <v/>
      </c>
      <c r="M104" s="69" t="str">
        <f>IF(N104="","",IF(ISNUMBER(INDEX(am_cost,N104)),INDEX(am_cost,N104),""))</f>
        <v/>
      </c>
      <c r="N104" s="66" t="str">
        <f>IFERROR(MATCH(SMALL(am_plankey,98),am_plankey,0),"")</f>
        <v/>
      </c>
    </row>
    <row r="105" ht="30" customHeight="1">
      <c r="A105" s="65" t="str">
        <f>IF(N105="","",99)</f>
        <v/>
      </c>
      <c r="B105" s="66" t="str">
        <f>IF(N105="","",INDEX(am_num,N105)&amp;"")</f>
        <v/>
      </c>
      <c r="C105" s="67" t="str">
        <f>IF(N105="","",INDEX(am_step,N105)&amp;"")</f>
        <v/>
      </c>
      <c r="D105" s="67" t="str">
        <f>IF(N105="","",INDEX(am_mode,N105)&amp;"")</f>
        <v/>
      </c>
      <c r="E105" s="65" t="str">
        <f>IF(N105="","",INDEX(am_ipr,N105))</f>
        <v/>
      </c>
      <c r="F105" s="65" t="str">
        <f>IF(N105="","",INDEX(am_crit,N105)&amp;"")</f>
        <v/>
      </c>
      <c r="G105" s="67" t="str">
        <f>IF(N105="","",INDEX(am_action,N105)&amp;"")</f>
        <v/>
      </c>
      <c r="H105" s="67" t="str">
        <f>IF(N105="","",INDEX(am_who,N105)&amp;"")</f>
        <v/>
      </c>
      <c r="I105" s="68" t="str">
        <f>IF(N105="","",IF(N(INDEX(am_due,N105))&gt;0,INDEX(am_due,N105),""))</f>
        <v/>
      </c>
      <c r="J105" s="65" t="str">
        <f>IF(N105="","",INDEX(am_status,N105)&amp;"")</f>
        <v/>
      </c>
      <c r="K105" s="65" t="str">
        <f>IF(N105="","",INDEX(am_suivi,N105)&amp;"")</f>
        <v/>
      </c>
      <c r="L105" s="65" t="str">
        <f>IF(K105="En retard",p_today-I105,"")</f>
        <v/>
      </c>
      <c r="M105" s="69" t="str">
        <f>IF(N105="","",IF(ISNUMBER(INDEX(am_cost,N105)),INDEX(am_cost,N105),""))</f>
        <v/>
      </c>
      <c r="N105" s="66" t="str">
        <f>IFERROR(MATCH(SMALL(am_plankey,99),am_plankey,0),"")</f>
        <v/>
      </c>
    </row>
    <row r="106" ht="30" customHeight="1">
      <c r="A106" s="65" t="str">
        <f>IF(N106="","",100)</f>
        <v/>
      </c>
      <c r="B106" s="66" t="str">
        <f>IF(N106="","",INDEX(am_num,N106)&amp;"")</f>
        <v/>
      </c>
      <c r="C106" s="67" t="str">
        <f>IF(N106="","",INDEX(am_step,N106)&amp;"")</f>
        <v/>
      </c>
      <c r="D106" s="67" t="str">
        <f>IF(N106="","",INDEX(am_mode,N106)&amp;"")</f>
        <v/>
      </c>
      <c r="E106" s="65" t="str">
        <f>IF(N106="","",INDEX(am_ipr,N106))</f>
        <v/>
      </c>
      <c r="F106" s="65" t="str">
        <f>IF(N106="","",INDEX(am_crit,N106)&amp;"")</f>
        <v/>
      </c>
      <c r="G106" s="67" t="str">
        <f>IF(N106="","",INDEX(am_action,N106)&amp;"")</f>
        <v/>
      </c>
      <c r="H106" s="67" t="str">
        <f>IF(N106="","",INDEX(am_who,N106)&amp;"")</f>
        <v/>
      </c>
      <c r="I106" s="68" t="str">
        <f>IF(N106="","",IF(N(INDEX(am_due,N106))&gt;0,INDEX(am_due,N106),""))</f>
        <v/>
      </c>
      <c r="J106" s="65" t="str">
        <f>IF(N106="","",INDEX(am_status,N106)&amp;"")</f>
        <v/>
      </c>
      <c r="K106" s="65" t="str">
        <f>IF(N106="","",INDEX(am_suivi,N106)&amp;"")</f>
        <v/>
      </c>
      <c r="L106" s="65" t="str">
        <f>IF(K106="En retard",p_today-I106,"")</f>
        <v/>
      </c>
      <c r="M106" s="69" t="str">
        <f>IF(N106="","",IF(ISNUMBER(INDEX(am_cost,N106)),INDEX(am_cost,N106),""))</f>
        <v/>
      </c>
      <c r="N106" s="66" t="str">
        <f>IFERROR(MATCH(SMALL(am_plankey,100),am_plankey,0),"")</f>
        <v/>
      </c>
    </row>
    <row r="107" ht="30" customHeight="1">
      <c r="A107" s="65" t="str">
        <f>IF(N107="","",101)</f>
        <v/>
      </c>
      <c r="B107" s="66" t="str">
        <f>IF(N107="","",INDEX(am_num,N107)&amp;"")</f>
        <v/>
      </c>
      <c r="C107" s="67" t="str">
        <f>IF(N107="","",INDEX(am_step,N107)&amp;"")</f>
        <v/>
      </c>
      <c r="D107" s="67" t="str">
        <f>IF(N107="","",INDEX(am_mode,N107)&amp;"")</f>
        <v/>
      </c>
      <c r="E107" s="65" t="str">
        <f>IF(N107="","",INDEX(am_ipr,N107))</f>
        <v/>
      </c>
      <c r="F107" s="65" t="str">
        <f>IF(N107="","",INDEX(am_crit,N107)&amp;"")</f>
        <v/>
      </c>
      <c r="G107" s="67" t="str">
        <f>IF(N107="","",INDEX(am_action,N107)&amp;"")</f>
        <v/>
      </c>
      <c r="H107" s="67" t="str">
        <f>IF(N107="","",INDEX(am_who,N107)&amp;"")</f>
        <v/>
      </c>
      <c r="I107" s="68" t="str">
        <f>IF(N107="","",IF(N(INDEX(am_due,N107))&gt;0,INDEX(am_due,N107),""))</f>
        <v/>
      </c>
      <c r="J107" s="65" t="str">
        <f>IF(N107="","",INDEX(am_status,N107)&amp;"")</f>
        <v/>
      </c>
      <c r="K107" s="65" t="str">
        <f>IF(N107="","",INDEX(am_suivi,N107)&amp;"")</f>
        <v/>
      </c>
      <c r="L107" s="65" t="str">
        <f>IF(K107="En retard",p_today-I107,"")</f>
        <v/>
      </c>
      <c r="M107" s="69" t="str">
        <f>IF(N107="","",IF(ISNUMBER(INDEX(am_cost,N107)),INDEX(am_cost,N107),""))</f>
        <v/>
      </c>
      <c r="N107" s="66" t="str">
        <f>IFERROR(MATCH(SMALL(am_plankey,101),am_plankey,0),"")</f>
        <v/>
      </c>
    </row>
    <row r="108" ht="30" customHeight="1">
      <c r="A108" s="65" t="str">
        <f>IF(N108="","",102)</f>
        <v/>
      </c>
      <c r="B108" s="66" t="str">
        <f>IF(N108="","",INDEX(am_num,N108)&amp;"")</f>
        <v/>
      </c>
      <c r="C108" s="67" t="str">
        <f>IF(N108="","",INDEX(am_step,N108)&amp;"")</f>
        <v/>
      </c>
      <c r="D108" s="67" t="str">
        <f>IF(N108="","",INDEX(am_mode,N108)&amp;"")</f>
        <v/>
      </c>
      <c r="E108" s="65" t="str">
        <f>IF(N108="","",INDEX(am_ipr,N108))</f>
        <v/>
      </c>
      <c r="F108" s="65" t="str">
        <f>IF(N108="","",INDEX(am_crit,N108)&amp;"")</f>
        <v/>
      </c>
      <c r="G108" s="67" t="str">
        <f>IF(N108="","",INDEX(am_action,N108)&amp;"")</f>
        <v/>
      </c>
      <c r="H108" s="67" t="str">
        <f>IF(N108="","",INDEX(am_who,N108)&amp;"")</f>
        <v/>
      </c>
      <c r="I108" s="68" t="str">
        <f>IF(N108="","",IF(N(INDEX(am_due,N108))&gt;0,INDEX(am_due,N108),""))</f>
        <v/>
      </c>
      <c r="J108" s="65" t="str">
        <f>IF(N108="","",INDEX(am_status,N108)&amp;"")</f>
        <v/>
      </c>
      <c r="K108" s="65" t="str">
        <f>IF(N108="","",INDEX(am_suivi,N108)&amp;"")</f>
        <v/>
      </c>
      <c r="L108" s="65" t="str">
        <f>IF(K108="En retard",p_today-I108,"")</f>
        <v/>
      </c>
      <c r="M108" s="69" t="str">
        <f>IF(N108="","",IF(ISNUMBER(INDEX(am_cost,N108)),INDEX(am_cost,N108),""))</f>
        <v/>
      </c>
      <c r="N108" s="66" t="str">
        <f>IFERROR(MATCH(SMALL(am_plankey,102),am_plankey,0),"")</f>
        <v/>
      </c>
    </row>
    <row r="109" ht="30" customHeight="1">
      <c r="A109" s="65" t="str">
        <f>IF(N109="","",103)</f>
        <v/>
      </c>
      <c r="B109" s="66" t="str">
        <f>IF(N109="","",INDEX(am_num,N109)&amp;"")</f>
        <v/>
      </c>
      <c r="C109" s="67" t="str">
        <f>IF(N109="","",INDEX(am_step,N109)&amp;"")</f>
        <v/>
      </c>
      <c r="D109" s="67" t="str">
        <f>IF(N109="","",INDEX(am_mode,N109)&amp;"")</f>
        <v/>
      </c>
      <c r="E109" s="65" t="str">
        <f>IF(N109="","",INDEX(am_ipr,N109))</f>
        <v/>
      </c>
      <c r="F109" s="65" t="str">
        <f>IF(N109="","",INDEX(am_crit,N109)&amp;"")</f>
        <v/>
      </c>
      <c r="G109" s="67" t="str">
        <f>IF(N109="","",INDEX(am_action,N109)&amp;"")</f>
        <v/>
      </c>
      <c r="H109" s="67" t="str">
        <f>IF(N109="","",INDEX(am_who,N109)&amp;"")</f>
        <v/>
      </c>
      <c r="I109" s="68" t="str">
        <f>IF(N109="","",IF(N(INDEX(am_due,N109))&gt;0,INDEX(am_due,N109),""))</f>
        <v/>
      </c>
      <c r="J109" s="65" t="str">
        <f>IF(N109="","",INDEX(am_status,N109)&amp;"")</f>
        <v/>
      </c>
      <c r="K109" s="65" t="str">
        <f>IF(N109="","",INDEX(am_suivi,N109)&amp;"")</f>
        <v/>
      </c>
      <c r="L109" s="65" t="str">
        <f>IF(K109="En retard",p_today-I109,"")</f>
        <v/>
      </c>
      <c r="M109" s="69" t="str">
        <f>IF(N109="","",IF(ISNUMBER(INDEX(am_cost,N109)),INDEX(am_cost,N109),""))</f>
        <v/>
      </c>
      <c r="N109" s="66" t="str">
        <f>IFERROR(MATCH(SMALL(am_plankey,103),am_plankey,0),"")</f>
        <v/>
      </c>
    </row>
    <row r="110" ht="30" customHeight="1">
      <c r="A110" s="65" t="str">
        <f>IF(N110="","",104)</f>
        <v/>
      </c>
      <c r="B110" s="66" t="str">
        <f>IF(N110="","",INDEX(am_num,N110)&amp;"")</f>
        <v/>
      </c>
      <c r="C110" s="67" t="str">
        <f>IF(N110="","",INDEX(am_step,N110)&amp;"")</f>
        <v/>
      </c>
      <c r="D110" s="67" t="str">
        <f>IF(N110="","",INDEX(am_mode,N110)&amp;"")</f>
        <v/>
      </c>
      <c r="E110" s="65" t="str">
        <f>IF(N110="","",INDEX(am_ipr,N110))</f>
        <v/>
      </c>
      <c r="F110" s="65" t="str">
        <f>IF(N110="","",INDEX(am_crit,N110)&amp;"")</f>
        <v/>
      </c>
      <c r="G110" s="67" t="str">
        <f>IF(N110="","",INDEX(am_action,N110)&amp;"")</f>
        <v/>
      </c>
      <c r="H110" s="67" t="str">
        <f>IF(N110="","",INDEX(am_who,N110)&amp;"")</f>
        <v/>
      </c>
      <c r="I110" s="68" t="str">
        <f>IF(N110="","",IF(N(INDEX(am_due,N110))&gt;0,INDEX(am_due,N110),""))</f>
        <v/>
      </c>
      <c r="J110" s="65" t="str">
        <f>IF(N110="","",INDEX(am_status,N110)&amp;"")</f>
        <v/>
      </c>
      <c r="K110" s="65" t="str">
        <f>IF(N110="","",INDEX(am_suivi,N110)&amp;"")</f>
        <v/>
      </c>
      <c r="L110" s="65" t="str">
        <f>IF(K110="En retard",p_today-I110,"")</f>
        <v/>
      </c>
      <c r="M110" s="69" t="str">
        <f>IF(N110="","",IF(ISNUMBER(INDEX(am_cost,N110)),INDEX(am_cost,N110),""))</f>
        <v/>
      </c>
      <c r="N110" s="66" t="str">
        <f>IFERROR(MATCH(SMALL(am_plankey,104),am_plankey,0),"")</f>
        <v/>
      </c>
    </row>
    <row r="111" ht="30" customHeight="1">
      <c r="A111" s="65" t="str">
        <f>IF(N111="","",105)</f>
        <v/>
      </c>
      <c r="B111" s="66" t="str">
        <f>IF(N111="","",INDEX(am_num,N111)&amp;"")</f>
        <v/>
      </c>
      <c r="C111" s="67" t="str">
        <f>IF(N111="","",INDEX(am_step,N111)&amp;"")</f>
        <v/>
      </c>
      <c r="D111" s="67" t="str">
        <f>IF(N111="","",INDEX(am_mode,N111)&amp;"")</f>
        <v/>
      </c>
      <c r="E111" s="65" t="str">
        <f>IF(N111="","",INDEX(am_ipr,N111))</f>
        <v/>
      </c>
      <c r="F111" s="65" t="str">
        <f>IF(N111="","",INDEX(am_crit,N111)&amp;"")</f>
        <v/>
      </c>
      <c r="G111" s="67" t="str">
        <f>IF(N111="","",INDEX(am_action,N111)&amp;"")</f>
        <v/>
      </c>
      <c r="H111" s="67" t="str">
        <f>IF(N111="","",INDEX(am_who,N111)&amp;"")</f>
        <v/>
      </c>
      <c r="I111" s="68" t="str">
        <f>IF(N111="","",IF(N(INDEX(am_due,N111))&gt;0,INDEX(am_due,N111),""))</f>
        <v/>
      </c>
      <c r="J111" s="65" t="str">
        <f>IF(N111="","",INDEX(am_status,N111)&amp;"")</f>
        <v/>
      </c>
      <c r="K111" s="65" t="str">
        <f>IF(N111="","",INDEX(am_suivi,N111)&amp;"")</f>
        <v/>
      </c>
      <c r="L111" s="65" t="str">
        <f>IF(K111="En retard",p_today-I111,"")</f>
        <v/>
      </c>
      <c r="M111" s="69" t="str">
        <f>IF(N111="","",IF(ISNUMBER(INDEX(am_cost,N111)),INDEX(am_cost,N111),""))</f>
        <v/>
      </c>
      <c r="N111" s="66" t="str">
        <f>IFERROR(MATCH(SMALL(am_plankey,105),am_plankey,0),"")</f>
        <v/>
      </c>
    </row>
    <row r="112" ht="30" customHeight="1">
      <c r="A112" s="65" t="str">
        <f>IF(N112="","",106)</f>
        <v/>
      </c>
      <c r="B112" s="66" t="str">
        <f>IF(N112="","",INDEX(am_num,N112)&amp;"")</f>
        <v/>
      </c>
      <c r="C112" s="67" t="str">
        <f>IF(N112="","",INDEX(am_step,N112)&amp;"")</f>
        <v/>
      </c>
      <c r="D112" s="67" t="str">
        <f>IF(N112="","",INDEX(am_mode,N112)&amp;"")</f>
        <v/>
      </c>
      <c r="E112" s="65" t="str">
        <f>IF(N112="","",INDEX(am_ipr,N112))</f>
        <v/>
      </c>
      <c r="F112" s="65" t="str">
        <f>IF(N112="","",INDEX(am_crit,N112)&amp;"")</f>
        <v/>
      </c>
      <c r="G112" s="67" t="str">
        <f>IF(N112="","",INDEX(am_action,N112)&amp;"")</f>
        <v/>
      </c>
      <c r="H112" s="67" t="str">
        <f>IF(N112="","",INDEX(am_who,N112)&amp;"")</f>
        <v/>
      </c>
      <c r="I112" s="68" t="str">
        <f>IF(N112="","",IF(N(INDEX(am_due,N112))&gt;0,INDEX(am_due,N112),""))</f>
        <v/>
      </c>
      <c r="J112" s="65" t="str">
        <f>IF(N112="","",INDEX(am_status,N112)&amp;"")</f>
        <v/>
      </c>
      <c r="K112" s="65" t="str">
        <f>IF(N112="","",INDEX(am_suivi,N112)&amp;"")</f>
        <v/>
      </c>
      <c r="L112" s="65" t="str">
        <f>IF(K112="En retard",p_today-I112,"")</f>
        <v/>
      </c>
      <c r="M112" s="69" t="str">
        <f>IF(N112="","",IF(ISNUMBER(INDEX(am_cost,N112)),INDEX(am_cost,N112),""))</f>
        <v/>
      </c>
      <c r="N112" s="66" t="str">
        <f>IFERROR(MATCH(SMALL(am_plankey,106),am_plankey,0),"")</f>
        <v/>
      </c>
    </row>
    <row r="113" ht="30" customHeight="1">
      <c r="A113" s="65" t="str">
        <f>IF(N113="","",107)</f>
        <v/>
      </c>
      <c r="B113" s="66" t="str">
        <f>IF(N113="","",INDEX(am_num,N113)&amp;"")</f>
        <v/>
      </c>
      <c r="C113" s="67" t="str">
        <f>IF(N113="","",INDEX(am_step,N113)&amp;"")</f>
        <v/>
      </c>
      <c r="D113" s="67" t="str">
        <f>IF(N113="","",INDEX(am_mode,N113)&amp;"")</f>
        <v/>
      </c>
      <c r="E113" s="65" t="str">
        <f>IF(N113="","",INDEX(am_ipr,N113))</f>
        <v/>
      </c>
      <c r="F113" s="65" t="str">
        <f>IF(N113="","",INDEX(am_crit,N113)&amp;"")</f>
        <v/>
      </c>
      <c r="G113" s="67" t="str">
        <f>IF(N113="","",INDEX(am_action,N113)&amp;"")</f>
        <v/>
      </c>
      <c r="H113" s="67" t="str">
        <f>IF(N113="","",INDEX(am_who,N113)&amp;"")</f>
        <v/>
      </c>
      <c r="I113" s="68" t="str">
        <f>IF(N113="","",IF(N(INDEX(am_due,N113))&gt;0,INDEX(am_due,N113),""))</f>
        <v/>
      </c>
      <c r="J113" s="65" t="str">
        <f>IF(N113="","",INDEX(am_status,N113)&amp;"")</f>
        <v/>
      </c>
      <c r="K113" s="65" t="str">
        <f>IF(N113="","",INDEX(am_suivi,N113)&amp;"")</f>
        <v/>
      </c>
      <c r="L113" s="65" t="str">
        <f>IF(K113="En retard",p_today-I113,"")</f>
        <v/>
      </c>
      <c r="M113" s="69" t="str">
        <f>IF(N113="","",IF(ISNUMBER(INDEX(am_cost,N113)),INDEX(am_cost,N113),""))</f>
        <v/>
      </c>
      <c r="N113" s="66" t="str">
        <f>IFERROR(MATCH(SMALL(am_plankey,107),am_plankey,0),"")</f>
        <v/>
      </c>
    </row>
    <row r="114" ht="30" customHeight="1">
      <c r="A114" s="65" t="str">
        <f>IF(N114="","",108)</f>
        <v/>
      </c>
      <c r="B114" s="66" t="str">
        <f>IF(N114="","",INDEX(am_num,N114)&amp;"")</f>
        <v/>
      </c>
      <c r="C114" s="67" t="str">
        <f>IF(N114="","",INDEX(am_step,N114)&amp;"")</f>
        <v/>
      </c>
      <c r="D114" s="67" t="str">
        <f>IF(N114="","",INDEX(am_mode,N114)&amp;"")</f>
        <v/>
      </c>
      <c r="E114" s="65" t="str">
        <f>IF(N114="","",INDEX(am_ipr,N114))</f>
        <v/>
      </c>
      <c r="F114" s="65" t="str">
        <f>IF(N114="","",INDEX(am_crit,N114)&amp;"")</f>
        <v/>
      </c>
      <c r="G114" s="67" t="str">
        <f>IF(N114="","",INDEX(am_action,N114)&amp;"")</f>
        <v/>
      </c>
      <c r="H114" s="67" t="str">
        <f>IF(N114="","",INDEX(am_who,N114)&amp;"")</f>
        <v/>
      </c>
      <c r="I114" s="68" t="str">
        <f>IF(N114="","",IF(N(INDEX(am_due,N114))&gt;0,INDEX(am_due,N114),""))</f>
        <v/>
      </c>
      <c r="J114" s="65" t="str">
        <f>IF(N114="","",INDEX(am_status,N114)&amp;"")</f>
        <v/>
      </c>
      <c r="K114" s="65" t="str">
        <f>IF(N114="","",INDEX(am_suivi,N114)&amp;"")</f>
        <v/>
      </c>
      <c r="L114" s="65" t="str">
        <f>IF(K114="En retard",p_today-I114,"")</f>
        <v/>
      </c>
      <c r="M114" s="69" t="str">
        <f>IF(N114="","",IF(ISNUMBER(INDEX(am_cost,N114)),INDEX(am_cost,N114),""))</f>
        <v/>
      </c>
      <c r="N114" s="66" t="str">
        <f>IFERROR(MATCH(SMALL(am_plankey,108),am_plankey,0),"")</f>
        <v/>
      </c>
    </row>
    <row r="115" ht="30" customHeight="1">
      <c r="A115" s="65" t="str">
        <f>IF(N115="","",109)</f>
        <v/>
      </c>
      <c r="B115" s="66" t="str">
        <f>IF(N115="","",INDEX(am_num,N115)&amp;"")</f>
        <v/>
      </c>
      <c r="C115" s="67" t="str">
        <f>IF(N115="","",INDEX(am_step,N115)&amp;"")</f>
        <v/>
      </c>
      <c r="D115" s="67" t="str">
        <f>IF(N115="","",INDEX(am_mode,N115)&amp;"")</f>
        <v/>
      </c>
      <c r="E115" s="65" t="str">
        <f>IF(N115="","",INDEX(am_ipr,N115))</f>
        <v/>
      </c>
      <c r="F115" s="65" t="str">
        <f>IF(N115="","",INDEX(am_crit,N115)&amp;"")</f>
        <v/>
      </c>
      <c r="G115" s="67" t="str">
        <f>IF(N115="","",INDEX(am_action,N115)&amp;"")</f>
        <v/>
      </c>
      <c r="H115" s="67" t="str">
        <f>IF(N115="","",INDEX(am_who,N115)&amp;"")</f>
        <v/>
      </c>
      <c r="I115" s="68" t="str">
        <f>IF(N115="","",IF(N(INDEX(am_due,N115))&gt;0,INDEX(am_due,N115),""))</f>
        <v/>
      </c>
      <c r="J115" s="65" t="str">
        <f>IF(N115="","",INDEX(am_status,N115)&amp;"")</f>
        <v/>
      </c>
      <c r="K115" s="65" t="str">
        <f>IF(N115="","",INDEX(am_suivi,N115)&amp;"")</f>
        <v/>
      </c>
      <c r="L115" s="65" t="str">
        <f>IF(K115="En retard",p_today-I115,"")</f>
        <v/>
      </c>
      <c r="M115" s="69" t="str">
        <f>IF(N115="","",IF(ISNUMBER(INDEX(am_cost,N115)),INDEX(am_cost,N115),""))</f>
        <v/>
      </c>
      <c r="N115" s="66" t="str">
        <f>IFERROR(MATCH(SMALL(am_plankey,109),am_plankey,0),"")</f>
        <v/>
      </c>
    </row>
    <row r="116" ht="30" customHeight="1">
      <c r="A116" s="65" t="str">
        <f>IF(N116="","",110)</f>
        <v/>
      </c>
      <c r="B116" s="66" t="str">
        <f>IF(N116="","",INDEX(am_num,N116)&amp;"")</f>
        <v/>
      </c>
      <c r="C116" s="67" t="str">
        <f>IF(N116="","",INDEX(am_step,N116)&amp;"")</f>
        <v/>
      </c>
      <c r="D116" s="67" t="str">
        <f>IF(N116="","",INDEX(am_mode,N116)&amp;"")</f>
        <v/>
      </c>
      <c r="E116" s="65" t="str">
        <f>IF(N116="","",INDEX(am_ipr,N116))</f>
        <v/>
      </c>
      <c r="F116" s="65" t="str">
        <f>IF(N116="","",INDEX(am_crit,N116)&amp;"")</f>
        <v/>
      </c>
      <c r="G116" s="67" t="str">
        <f>IF(N116="","",INDEX(am_action,N116)&amp;"")</f>
        <v/>
      </c>
      <c r="H116" s="67" t="str">
        <f>IF(N116="","",INDEX(am_who,N116)&amp;"")</f>
        <v/>
      </c>
      <c r="I116" s="68" t="str">
        <f>IF(N116="","",IF(N(INDEX(am_due,N116))&gt;0,INDEX(am_due,N116),""))</f>
        <v/>
      </c>
      <c r="J116" s="65" t="str">
        <f>IF(N116="","",INDEX(am_status,N116)&amp;"")</f>
        <v/>
      </c>
      <c r="K116" s="65" t="str">
        <f>IF(N116="","",INDEX(am_suivi,N116)&amp;"")</f>
        <v/>
      </c>
      <c r="L116" s="65" t="str">
        <f>IF(K116="En retard",p_today-I116,"")</f>
        <v/>
      </c>
      <c r="M116" s="69" t="str">
        <f>IF(N116="","",IF(ISNUMBER(INDEX(am_cost,N116)),INDEX(am_cost,N116),""))</f>
        <v/>
      </c>
      <c r="N116" s="66" t="str">
        <f>IFERROR(MATCH(SMALL(am_plankey,110),am_plankey,0),"")</f>
        <v/>
      </c>
    </row>
    <row r="117" ht="30" customHeight="1">
      <c r="A117" s="65" t="str">
        <f>IF(N117="","",111)</f>
        <v/>
      </c>
      <c r="B117" s="66" t="str">
        <f>IF(N117="","",INDEX(am_num,N117)&amp;"")</f>
        <v/>
      </c>
      <c r="C117" s="67" t="str">
        <f>IF(N117="","",INDEX(am_step,N117)&amp;"")</f>
        <v/>
      </c>
      <c r="D117" s="67" t="str">
        <f>IF(N117="","",INDEX(am_mode,N117)&amp;"")</f>
        <v/>
      </c>
      <c r="E117" s="65" t="str">
        <f>IF(N117="","",INDEX(am_ipr,N117))</f>
        <v/>
      </c>
      <c r="F117" s="65" t="str">
        <f>IF(N117="","",INDEX(am_crit,N117)&amp;"")</f>
        <v/>
      </c>
      <c r="G117" s="67" t="str">
        <f>IF(N117="","",INDEX(am_action,N117)&amp;"")</f>
        <v/>
      </c>
      <c r="H117" s="67" t="str">
        <f>IF(N117="","",INDEX(am_who,N117)&amp;"")</f>
        <v/>
      </c>
      <c r="I117" s="68" t="str">
        <f>IF(N117="","",IF(N(INDEX(am_due,N117))&gt;0,INDEX(am_due,N117),""))</f>
        <v/>
      </c>
      <c r="J117" s="65" t="str">
        <f>IF(N117="","",INDEX(am_status,N117)&amp;"")</f>
        <v/>
      </c>
      <c r="K117" s="65" t="str">
        <f>IF(N117="","",INDEX(am_suivi,N117)&amp;"")</f>
        <v/>
      </c>
      <c r="L117" s="65" t="str">
        <f>IF(K117="En retard",p_today-I117,"")</f>
        <v/>
      </c>
      <c r="M117" s="69" t="str">
        <f>IF(N117="","",IF(ISNUMBER(INDEX(am_cost,N117)),INDEX(am_cost,N117),""))</f>
        <v/>
      </c>
      <c r="N117" s="66" t="str">
        <f>IFERROR(MATCH(SMALL(am_plankey,111),am_plankey,0),"")</f>
        <v/>
      </c>
    </row>
    <row r="118" ht="30" customHeight="1">
      <c r="A118" s="65" t="str">
        <f>IF(N118="","",112)</f>
        <v/>
      </c>
      <c r="B118" s="66" t="str">
        <f>IF(N118="","",INDEX(am_num,N118)&amp;"")</f>
        <v/>
      </c>
      <c r="C118" s="67" t="str">
        <f>IF(N118="","",INDEX(am_step,N118)&amp;"")</f>
        <v/>
      </c>
      <c r="D118" s="67" t="str">
        <f>IF(N118="","",INDEX(am_mode,N118)&amp;"")</f>
        <v/>
      </c>
      <c r="E118" s="65" t="str">
        <f>IF(N118="","",INDEX(am_ipr,N118))</f>
        <v/>
      </c>
      <c r="F118" s="65" t="str">
        <f>IF(N118="","",INDEX(am_crit,N118)&amp;"")</f>
        <v/>
      </c>
      <c r="G118" s="67" t="str">
        <f>IF(N118="","",INDEX(am_action,N118)&amp;"")</f>
        <v/>
      </c>
      <c r="H118" s="67" t="str">
        <f>IF(N118="","",INDEX(am_who,N118)&amp;"")</f>
        <v/>
      </c>
      <c r="I118" s="68" t="str">
        <f>IF(N118="","",IF(N(INDEX(am_due,N118))&gt;0,INDEX(am_due,N118),""))</f>
        <v/>
      </c>
      <c r="J118" s="65" t="str">
        <f>IF(N118="","",INDEX(am_status,N118)&amp;"")</f>
        <v/>
      </c>
      <c r="K118" s="65" t="str">
        <f>IF(N118="","",INDEX(am_suivi,N118)&amp;"")</f>
        <v/>
      </c>
      <c r="L118" s="65" t="str">
        <f>IF(K118="En retard",p_today-I118,"")</f>
        <v/>
      </c>
      <c r="M118" s="69" t="str">
        <f>IF(N118="","",IF(ISNUMBER(INDEX(am_cost,N118)),INDEX(am_cost,N118),""))</f>
        <v/>
      </c>
      <c r="N118" s="66" t="str">
        <f>IFERROR(MATCH(SMALL(am_plankey,112),am_plankey,0),"")</f>
        <v/>
      </c>
    </row>
    <row r="119" ht="30" customHeight="1">
      <c r="A119" s="65" t="str">
        <f>IF(N119="","",113)</f>
        <v/>
      </c>
      <c r="B119" s="66" t="str">
        <f>IF(N119="","",INDEX(am_num,N119)&amp;"")</f>
        <v/>
      </c>
      <c r="C119" s="67" t="str">
        <f>IF(N119="","",INDEX(am_step,N119)&amp;"")</f>
        <v/>
      </c>
      <c r="D119" s="67" t="str">
        <f>IF(N119="","",INDEX(am_mode,N119)&amp;"")</f>
        <v/>
      </c>
      <c r="E119" s="65" t="str">
        <f>IF(N119="","",INDEX(am_ipr,N119))</f>
        <v/>
      </c>
      <c r="F119" s="65" t="str">
        <f>IF(N119="","",INDEX(am_crit,N119)&amp;"")</f>
        <v/>
      </c>
      <c r="G119" s="67" t="str">
        <f>IF(N119="","",INDEX(am_action,N119)&amp;"")</f>
        <v/>
      </c>
      <c r="H119" s="67" t="str">
        <f>IF(N119="","",INDEX(am_who,N119)&amp;"")</f>
        <v/>
      </c>
      <c r="I119" s="68" t="str">
        <f>IF(N119="","",IF(N(INDEX(am_due,N119))&gt;0,INDEX(am_due,N119),""))</f>
        <v/>
      </c>
      <c r="J119" s="65" t="str">
        <f>IF(N119="","",INDEX(am_status,N119)&amp;"")</f>
        <v/>
      </c>
      <c r="K119" s="65" t="str">
        <f>IF(N119="","",INDEX(am_suivi,N119)&amp;"")</f>
        <v/>
      </c>
      <c r="L119" s="65" t="str">
        <f>IF(K119="En retard",p_today-I119,"")</f>
        <v/>
      </c>
      <c r="M119" s="69" t="str">
        <f>IF(N119="","",IF(ISNUMBER(INDEX(am_cost,N119)),INDEX(am_cost,N119),""))</f>
        <v/>
      </c>
      <c r="N119" s="66" t="str">
        <f>IFERROR(MATCH(SMALL(am_plankey,113),am_plankey,0),"")</f>
        <v/>
      </c>
    </row>
    <row r="120" ht="30" customHeight="1">
      <c r="A120" s="65" t="str">
        <f>IF(N120="","",114)</f>
        <v/>
      </c>
      <c r="B120" s="66" t="str">
        <f>IF(N120="","",INDEX(am_num,N120)&amp;"")</f>
        <v/>
      </c>
      <c r="C120" s="67" t="str">
        <f>IF(N120="","",INDEX(am_step,N120)&amp;"")</f>
        <v/>
      </c>
      <c r="D120" s="67" t="str">
        <f>IF(N120="","",INDEX(am_mode,N120)&amp;"")</f>
        <v/>
      </c>
      <c r="E120" s="65" t="str">
        <f>IF(N120="","",INDEX(am_ipr,N120))</f>
        <v/>
      </c>
      <c r="F120" s="65" t="str">
        <f>IF(N120="","",INDEX(am_crit,N120)&amp;"")</f>
        <v/>
      </c>
      <c r="G120" s="67" t="str">
        <f>IF(N120="","",INDEX(am_action,N120)&amp;"")</f>
        <v/>
      </c>
      <c r="H120" s="67" t="str">
        <f>IF(N120="","",INDEX(am_who,N120)&amp;"")</f>
        <v/>
      </c>
      <c r="I120" s="68" t="str">
        <f>IF(N120="","",IF(N(INDEX(am_due,N120))&gt;0,INDEX(am_due,N120),""))</f>
        <v/>
      </c>
      <c r="J120" s="65" t="str">
        <f>IF(N120="","",INDEX(am_status,N120)&amp;"")</f>
        <v/>
      </c>
      <c r="K120" s="65" t="str">
        <f>IF(N120="","",INDEX(am_suivi,N120)&amp;"")</f>
        <v/>
      </c>
      <c r="L120" s="65" t="str">
        <f>IF(K120="En retard",p_today-I120,"")</f>
        <v/>
      </c>
      <c r="M120" s="69" t="str">
        <f>IF(N120="","",IF(ISNUMBER(INDEX(am_cost,N120)),INDEX(am_cost,N120),""))</f>
        <v/>
      </c>
      <c r="N120" s="66" t="str">
        <f>IFERROR(MATCH(SMALL(am_plankey,114),am_plankey,0),"")</f>
        <v/>
      </c>
    </row>
    <row r="121" ht="30" customHeight="1">
      <c r="A121" s="65" t="str">
        <f>IF(N121="","",115)</f>
        <v/>
      </c>
      <c r="B121" s="66" t="str">
        <f>IF(N121="","",INDEX(am_num,N121)&amp;"")</f>
        <v/>
      </c>
      <c r="C121" s="67" t="str">
        <f>IF(N121="","",INDEX(am_step,N121)&amp;"")</f>
        <v/>
      </c>
      <c r="D121" s="67" t="str">
        <f>IF(N121="","",INDEX(am_mode,N121)&amp;"")</f>
        <v/>
      </c>
      <c r="E121" s="65" t="str">
        <f>IF(N121="","",INDEX(am_ipr,N121))</f>
        <v/>
      </c>
      <c r="F121" s="65" t="str">
        <f>IF(N121="","",INDEX(am_crit,N121)&amp;"")</f>
        <v/>
      </c>
      <c r="G121" s="67" t="str">
        <f>IF(N121="","",INDEX(am_action,N121)&amp;"")</f>
        <v/>
      </c>
      <c r="H121" s="67" t="str">
        <f>IF(N121="","",INDEX(am_who,N121)&amp;"")</f>
        <v/>
      </c>
      <c r="I121" s="68" t="str">
        <f>IF(N121="","",IF(N(INDEX(am_due,N121))&gt;0,INDEX(am_due,N121),""))</f>
        <v/>
      </c>
      <c r="J121" s="65" t="str">
        <f>IF(N121="","",INDEX(am_status,N121)&amp;"")</f>
        <v/>
      </c>
      <c r="K121" s="65" t="str">
        <f>IF(N121="","",INDEX(am_suivi,N121)&amp;"")</f>
        <v/>
      </c>
      <c r="L121" s="65" t="str">
        <f>IF(K121="En retard",p_today-I121,"")</f>
        <v/>
      </c>
      <c r="M121" s="69" t="str">
        <f>IF(N121="","",IF(ISNUMBER(INDEX(am_cost,N121)),INDEX(am_cost,N121),""))</f>
        <v/>
      </c>
      <c r="N121" s="66" t="str">
        <f>IFERROR(MATCH(SMALL(am_plankey,115),am_plankey,0),"")</f>
        <v/>
      </c>
    </row>
    <row r="122" ht="30" customHeight="1">
      <c r="A122" s="65" t="str">
        <f>IF(N122="","",116)</f>
        <v/>
      </c>
      <c r="B122" s="66" t="str">
        <f>IF(N122="","",INDEX(am_num,N122)&amp;"")</f>
        <v/>
      </c>
      <c r="C122" s="67" t="str">
        <f>IF(N122="","",INDEX(am_step,N122)&amp;"")</f>
        <v/>
      </c>
      <c r="D122" s="67" t="str">
        <f>IF(N122="","",INDEX(am_mode,N122)&amp;"")</f>
        <v/>
      </c>
      <c r="E122" s="65" t="str">
        <f>IF(N122="","",INDEX(am_ipr,N122))</f>
        <v/>
      </c>
      <c r="F122" s="65" t="str">
        <f>IF(N122="","",INDEX(am_crit,N122)&amp;"")</f>
        <v/>
      </c>
      <c r="G122" s="67" t="str">
        <f>IF(N122="","",INDEX(am_action,N122)&amp;"")</f>
        <v/>
      </c>
      <c r="H122" s="67" t="str">
        <f>IF(N122="","",INDEX(am_who,N122)&amp;"")</f>
        <v/>
      </c>
      <c r="I122" s="68" t="str">
        <f>IF(N122="","",IF(N(INDEX(am_due,N122))&gt;0,INDEX(am_due,N122),""))</f>
        <v/>
      </c>
      <c r="J122" s="65" t="str">
        <f>IF(N122="","",INDEX(am_status,N122)&amp;"")</f>
        <v/>
      </c>
      <c r="K122" s="65" t="str">
        <f>IF(N122="","",INDEX(am_suivi,N122)&amp;"")</f>
        <v/>
      </c>
      <c r="L122" s="65" t="str">
        <f>IF(K122="En retard",p_today-I122,"")</f>
        <v/>
      </c>
      <c r="M122" s="69" t="str">
        <f>IF(N122="","",IF(ISNUMBER(INDEX(am_cost,N122)),INDEX(am_cost,N122),""))</f>
        <v/>
      </c>
      <c r="N122" s="66" t="str">
        <f>IFERROR(MATCH(SMALL(am_plankey,116),am_plankey,0),"")</f>
        <v/>
      </c>
    </row>
    <row r="123" ht="30" customHeight="1">
      <c r="A123" s="65" t="str">
        <f>IF(N123="","",117)</f>
        <v/>
      </c>
      <c r="B123" s="66" t="str">
        <f>IF(N123="","",INDEX(am_num,N123)&amp;"")</f>
        <v/>
      </c>
      <c r="C123" s="67" t="str">
        <f>IF(N123="","",INDEX(am_step,N123)&amp;"")</f>
        <v/>
      </c>
      <c r="D123" s="67" t="str">
        <f>IF(N123="","",INDEX(am_mode,N123)&amp;"")</f>
        <v/>
      </c>
      <c r="E123" s="65" t="str">
        <f>IF(N123="","",INDEX(am_ipr,N123))</f>
        <v/>
      </c>
      <c r="F123" s="65" t="str">
        <f>IF(N123="","",INDEX(am_crit,N123)&amp;"")</f>
        <v/>
      </c>
      <c r="G123" s="67" t="str">
        <f>IF(N123="","",INDEX(am_action,N123)&amp;"")</f>
        <v/>
      </c>
      <c r="H123" s="67" t="str">
        <f>IF(N123="","",INDEX(am_who,N123)&amp;"")</f>
        <v/>
      </c>
      <c r="I123" s="68" t="str">
        <f>IF(N123="","",IF(N(INDEX(am_due,N123))&gt;0,INDEX(am_due,N123),""))</f>
        <v/>
      </c>
      <c r="J123" s="65" t="str">
        <f>IF(N123="","",INDEX(am_status,N123)&amp;"")</f>
        <v/>
      </c>
      <c r="K123" s="65" t="str">
        <f>IF(N123="","",INDEX(am_suivi,N123)&amp;"")</f>
        <v/>
      </c>
      <c r="L123" s="65" t="str">
        <f>IF(K123="En retard",p_today-I123,"")</f>
        <v/>
      </c>
      <c r="M123" s="69" t="str">
        <f>IF(N123="","",IF(ISNUMBER(INDEX(am_cost,N123)),INDEX(am_cost,N123),""))</f>
        <v/>
      </c>
      <c r="N123" s="66" t="str">
        <f>IFERROR(MATCH(SMALL(am_plankey,117),am_plankey,0),"")</f>
        <v/>
      </c>
    </row>
    <row r="124" ht="30" customHeight="1">
      <c r="A124" s="65" t="str">
        <f>IF(N124="","",118)</f>
        <v/>
      </c>
      <c r="B124" s="66" t="str">
        <f>IF(N124="","",INDEX(am_num,N124)&amp;"")</f>
        <v/>
      </c>
      <c r="C124" s="67" t="str">
        <f>IF(N124="","",INDEX(am_step,N124)&amp;"")</f>
        <v/>
      </c>
      <c r="D124" s="67" t="str">
        <f>IF(N124="","",INDEX(am_mode,N124)&amp;"")</f>
        <v/>
      </c>
      <c r="E124" s="65" t="str">
        <f>IF(N124="","",INDEX(am_ipr,N124))</f>
        <v/>
      </c>
      <c r="F124" s="65" t="str">
        <f>IF(N124="","",INDEX(am_crit,N124)&amp;"")</f>
        <v/>
      </c>
      <c r="G124" s="67" t="str">
        <f>IF(N124="","",INDEX(am_action,N124)&amp;"")</f>
        <v/>
      </c>
      <c r="H124" s="67" t="str">
        <f>IF(N124="","",INDEX(am_who,N124)&amp;"")</f>
        <v/>
      </c>
      <c r="I124" s="68" t="str">
        <f>IF(N124="","",IF(N(INDEX(am_due,N124))&gt;0,INDEX(am_due,N124),""))</f>
        <v/>
      </c>
      <c r="J124" s="65" t="str">
        <f>IF(N124="","",INDEX(am_status,N124)&amp;"")</f>
        <v/>
      </c>
      <c r="K124" s="65" t="str">
        <f>IF(N124="","",INDEX(am_suivi,N124)&amp;"")</f>
        <v/>
      </c>
      <c r="L124" s="65" t="str">
        <f>IF(K124="En retard",p_today-I124,"")</f>
        <v/>
      </c>
      <c r="M124" s="69" t="str">
        <f>IF(N124="","",IF(ISNUMBER(INDEX(am_cost,N124)),INDEX(am_cost,N124),""))</f>
        <v/>
      </c>
      <c r="N124" s="66" t="str">
        <f>IFERROR(MATCH(SMALL(am_plankey,118),am_plankey,0),"")</f>
        <v/>
      </c>
    </row>
    <row r="125" ht="30" customHeight="1">
      <c r="A125" s="65" t="str">
        <f>IF(N125="","",119)</f>
        <v/>
      </c>
      <c r="B125" s="66" t="str">
        <f>IF(N125="","",INDEX(am_num,N125)&amp;"")</f>
        <v/>
      </c>
      <c r="C125" s="67" t="str">
        <f>IF(N125="","",INDEX(am_step,N125)&amp;"")</f>
        <v/>
      </c>
      <c r="D125" s="67" t="str">
        <f>IF(N125="","",INDEX(am_mode,N125)&amp;"")</f>
        <v/>
      </c>
      <c r="E125" s="65" t="str">
        <f>IF(N125="","",INDEX(am_ipr,N125))</f>
        <v/>
      </c>
      <c r="F125" s="65" t="str">
        <f>IF(N125="","",INDEX(am_crit,N125)&amp;"")</f>
        <v/>
      </c>
      <c r="G125" s="67" t="str">
        <f>IF(N125="","",INDEX(am_action,N125)&amp;"")</f>
        <v/>
      </c>
      <c r="H125" s="67" t="str">
        <f>IF(N125="","",INDEX(am_who,N125)&amp;"")</f>
        <v/>
      </c>
      <c r="I125" s="68" t="str">
        <f>IF(N125="","",IF(N(INDEX(am_due,N125))&gt;0,INDEX(am_due,N125),""))</f>
        <v/>
      </c>
      <c r="J125" s="65" t="str">
        <f>IF(N125="","",INDEX(am_status,N125)&amp;"")</f>
        <v/>
      </c>
      <c r="K125" s="65" t="str">
        <f>IF(N125="","",INDEX(am_suivi,N125)&amp;"")</f>
        <v/>
      </c>
      <c r="L125" s="65" t="str">
        <f>IF(K125="En retard",p_today-I125,"")</f>
        <v/>
      </c>
      <c r="M125" s="69" t="str">
        <f>IF(N125="","",IF(ISNUMBER(INDEX(am_cost,N125)),INDEX(am_cost,N125),""))</f>
        <v/>
      </c>
      <c r="N125" s="66" t="str">
        <f>IFERROR(MATCH(SMALL(am_plankey,119),am_plankey,0),"")</f>
        <v/>
      </c>
    </row>
    <row r="126" ht="30" customHeight="1">
      <c r="A126" s="65" t="str">
        <f>IF(N126="","",120)</f>
        <v/>
      </c>
      <c r="B126" s="66" t="str">
        <f>IF(N126="","",INDEX(am_num,N126)&amp;"")</f>
        <v/>
      </c>
      <c r="C126" s="67" t="str">
        <f>IF(N126="","",INDEX(am_step,N126)&amp;"")</f>
        <v/>
      </c>
      <c r="D126" s="67" t="str">
        <f>IF(N126="","",INDEX(am_mode,N126)&amp;"")</f>
        <v/>
      </c>
      <c r="E126" s="65" t="str">
        <f>IF(N126="","",INDEX(am_ipr,N126))</f>
        <v/>
      </c>
      <c r="F126" s="65" t="str">
        <f>IF(N126="","",INDEX(am_crit,N126)&amp;"")</f>
        <v/>
      </c>
      <c r="G126" s="67" t="str">
        <f>IF(N126="","",INDEX(am_action,N126)&amp;"")</f>
        <v/>
      </c>
      <c r="H126" s="67" t="str">
        <f>IF(N126="","",INDEX(am_who,N126)&amp;"")</f>
        <v/>
      </c>
      <c r="I126" s="68" t="str">
        <f>IF(N126="","",IF(N(INDEX(am_due,N126))&gt;0,INDEX(am_due,N126),""))</f>
        <v/>
      </c>
      <c r="J126" s="65" t="str">
        <f>IF(N126="","",INDEX(am_status,N126)&amp;"")</f>
        <v/>
      </c>
      <c r="K126" s="65" t="str">
        <f>IF(N126="","",INDEX(am_suivi,N126)&amp;"")</f>
        <v/>
      </c>
      <c r="L126" s="65" t="str">
        <f>IF(K126="En retard",p_today-I126,"")</f>
        <v/>
      </c>
      <c r="M126" s="69" t="str">
        <f>IF(N126="","",IF(ISNUMBER(INDEX(am_cost,N126)),INDEX(am_cost,N126),""))</f>
        <v/>
      </c>
      <c r="N126" s="66" t="str">
        <f>IFERROR(MATCH(SMALL(am_plankey,120),am_plankey,0),"")</f>
        <v/>
      </c>
    </row>
    <row r="127" ht="30" customHeight="1">
      <c r="A127" s="65" t="str">
        <f>IF(N127="","",121)</f>
        <v/>
      </c>
      <c r="B127" s="66" t="str">
        <f>IF(N127="","",INDEX(am_num,N127)&amp;"")</f>
        <v/>
      </c>
      <c r="C127" s="67" t="str">
        <f>IF(N127="","",INDEX(am_step,N127)&amp;"")</f>
        <v/>
      </c>
      <c r="D127" s="67" t="str">
        <f>IF(N127="","",INDEX(am_mode,N127)&amp;"")</f>
        <v/>
      </c>
      <c r="E127" s="65" t="str">
        <f>IF(N127="","",INDEX(am_ipr,N127))</f>
        <v/>
      </c>
      <c r="F127" s="65" t="str">
        <f>IF(N127="","",INDEX(am_crit,N127)&amp;"")</f>
        <v/>
      </c>
      <c r="G127" s="67" t="str">
        <f>IF(N127="","",INDEX(am_action,N127)&amp;"")</f>
        <v/>
      </c>
      <c r="H127" s="67" t="str">
        <f>IF(N127="","",INDEX(am_who,N127)&amp;"")</f>
        <v/>
      </c>
      <c r="I127" s="68" t="str">
        <f>IF(N127="","",IF(N(INDEX(am_due,N127))&gt;0,INDEX(am_due,N127),""))</f>
        <v/>
      </c>
      <c r="J127" s="65" t="str">
        <f>IF(N127="","",INDEX(am_status,N127)&amp;"")</f>
        <v/>
      </c>
      <c r="K127" s="65" t="str">
        <f>IF(N127="","",INDEX(am_suivi,N127)&amp;"")</f>
        <v/>
      </c>
      <c r="L127" s="65" t="str">
        <f>IF(K127="En retard",p_today-I127,"")</f>
        <v/>
      </c>
      <c r="M127" s="69" t="str">
        <f>IF(N127="","",IF(ISNUMBER(INDEX(am_cost,N127)),INDEX(am_cost,N127),""))</f>
        <v/>
      </c>
      <c r="N127" s="66" t="str">
        <f>IFERROR(MATCH(SMALL(am_plankey,121),am_plankey,0),"")</f>
        <v/>
      </c>
    </row>
    <row r="128" ht="30" customHeight="1">
      <c r="A128" s="65" t="str">
        <f>IF(N128="","",122)</f>
        <v/>
      </c>
      <c r="B128" s="66" t="str">
        <f>IF(N128="","",INDEX(am_num,N128)&amp;"")</f>
        <v/>
      </c>
      <c r="C128" s="67" t="str">
        <f>IF(N128="","",INDEX(am_step,N128)&amp;"")</f>
        <v/>
      </c>
      <c r="D128" s="67" t="str">
        <f>IF(N128="","",INDEX(am_mode,N128)&amp;"")</f>
        <v/>
      </c>
      <c r="E128" s="65" t="str">
        <f>IF(N128="","",INDEX(am_ipr,N128))</f>
        <v/>
      </c>
      <c r="F128" s="65" t="str">
        <f>IF(N128="","",INDEX(am_crit,N128)&amp;"")</f>
        <v/>
      </c>
      <c r="G128" s="67" t="str">
        <f>IF(N128="","",INDEX(am_action,N128)&amp;"")</f>
        <v/>
      </c>
      <c r="H128" s="67" t="str">
        <f>IF(N128="","",INDEX(am_who,N128)&amp;"")</f>
        <v/>
      </c>
      <c r="I128" s="68" t="str">
        <f>IF(N128="","",IF(N(INDEX(am_due,N128))&gt;0,INDEX(am_due,N128),""))</f>
        <v/>
      </c>
      <c r="J128" s="65" t="str">
        <f>IF(N128="","",INDEX(am_status,N128)&amp;"")</f>
        <v/>
      </c>
      <c r="K128" s="65" t="str">
        <f>IF(N128="","",INDEX(am_suivi,N128)&amp;"")</f>
        <v/>
      </c>
      <c r="L128" s="65" t="str">
        <f>IF(K128="En retard",p_today-I128,"")</f>
        <v/>
      </c>
      <c r="M128" s="69" t="str">
        <f>IF(N128="","",IF(ISNUMBER(INDEX(am_cost,N128)),INDEX(am_cost,N128),""))</f>
        <v/>
      </c>
      <c r="N128" s="66" t="str">
        <f>IFERROR(MATCH(SMALL(am_plankey,122),am_plankey,0),"")</f>
        <v/>
      </c>
    </row>
    <row r="129" ht="30" customHeight="1">
      <c r="A129" s="65" t="str">
        <f>IF(N129="","",123)</f>
        <v/>
      </c>
      <c r="B129" s="66" t="str">
        <f>IF(N129="","",INDEX(am_num,N129)&amp;"")</f>
        <v/>
      </c>
      <c r="C129" s="67" t="str">
        <f>IF(N129="","",INDEX(am_step,N129)&amp;"")</f>
        <v/>
      </c>
      <c r="D129" s="67" t="str">
        <f>IF(N129="","",INDEX(am_mode,N129)&amp;"")</f>
        <v/>
      </c>
      <c r="E129" s="65" t="str">
        <f>IF(N129="","",INDEX(am_ipr,N129))</f>
        <v/>
      </c>
      <c r="F129" s="65" t="str">
        <f>IF(N129="","",INDEX(am_crit,N129)&amp;"")</f>
        <v/>
      </c>
      <c r="G129" s="67" t="str">
        <f>IF(N129="","",INDEX(am_action,N129)&amp;"")</f>
        <v/>
      </c>
      <c r="H129" s="67" t="str">
        <f>IF(N129="","",INDEX(am_who,N129)&amp;"")</f>
        <v/>
      </c>
      <c r="I129" s="68" t="str">
        <f>IF(N129="","",IF(N(INDEX(am_due,N129))&gt;0,INDEX(am_due,N129),""))</f>
        <v/>
      </c>
      <c r="J129" s="65" t="str">
        <f>IF(N129="","",INDEX(am_status,N129)&amp;"")</f>
        <v/>
      </c>
      <c r="K129" s="65" t="str">
        <f>IF(N129="","",INDEX(am_suivi,N129)&amp;"")</f>
        <v/>
      </c>
      <c r="L129" s="65" t="str">
        <f>IF(K129="En retard",p_today-I129,"")</f>
        <v/>
      </c>
      <c r="M129" s="69" t="str">
        <f>IF(N129="","",IF(ISNUMBER(INDEX(am_cost,N129)),INDEX(am_cost,N129),""))</f>
        <v/>
      </c>
      <c r="N129" s="66" t="str">
        <f>IFERROR(MATCH(SMALL(am_plankey,123),am_plankey,0),"")</f>
        <v/>
      </c>
    </row>
    <row r="130" ht="30" customHeight="1">
      <c r="A130" s="65" t="str">
        <f>IF(N130="","",124)</f>
        <v/>
      </c>
      <c r="B130" s="66" t="str">
        <f>IF(N130="","",INDEX(am_num,N130)&amp;"")</f>
        <v/>
      </c>
      <c r="C130" s="67" t="str">
        <f>IF(N130="","",INDEX(am_step,N130)&amp;"")</f>
        <v/>
      </c>
      <c r="D130" s="67" t="str">
        <f>IF(N130="","",INDEX(am_mode,N130)&amp;"")</f>
        <v/>
      </c>
      <c r="E130" s="65" t="str">
        <f>IF(N130="","",INDEX(am_ipr,N130))</f>
        <v/>
      </c>
      <c r="F130" s="65" t="str">
        <f>IF(N130="","",INDEX(am_crit,N130)&amp;"")</f>
        <v/>
      </c>
      <c r="G130" s="67" t="str">
        <f>IF(N130="","",INDEX(am_action,N130)&amp;"")</f>
        <v/>
      </c>
      <c r="H130" s="67" t="str">
        <f>IF(N130="","",INDEX(am_who,N130)&amp;"")</f>
        <v/>
      </c>
      <c r="I130" s="68" t="str">
        <f>IF(N130="","",IF(N(INDEX(am_due,N130))&gt;0,INDEX(am_due,N130),""))</f>
        <v/>
      </c>
      <c r="J130" s="65" t="str">
        <f>IF(N130="","",INDEX(am_status,N130)&amp;"")</f>
        <v/>
      </c>
      <c r="K130" s="65" t="str">
        <f>IF(N130="","",INDEX(am_suivi,N130)&amp;"")</f>
        <v/>
      </c>
      <c r="L130" s="65" t="str">
        <f>IF(K130="En retard",p_today-I130,"")</f>
        <v/>
      </c>
      <c r="M130" s="69" t="str">
        <f>IF(N130="","",IF(ISNUMBER(INDEX(am_cost,N130)),INDEX(am_cost,N130),""))</f>
        <v/>
      </c>
      <c r="N130" s="66" t="str">
        <f>IFERROR(MATCH(SMALL(am_plankey,124),am_plankey,0),"")</f>
        <v/>
      </c>
    </row>
    <row r="131" ht="30" customHeight="1">
      <c r="A131" s="65" t="str">
        <f>IF(N131="","",125)</f>
        <v/>
      </c>
      <c r="B131" s="66" t="str">
        <f>IF(N131="","",INDEX(am_num,N131)&amp;"")</f>
        <v/>
      </c>
      <c r="C131" s="67" t="str">
        <f>IF(N131="","",INDEX(am_step,N131)&amp;"")</f>
        <v/>
      </c>
      <c r="D131" s="67" t="str">
        <f>IF(N131="","",INDEX(am_mode,N131)&amp;"")</f>
        <v/>
      </c>
      <c r="E131" s="65" t="str">
        <f>IF(N131="","",INDEX(am_ipr,N131))</f>
        <v/>
      </c>
      <c r="F131" s="65" t="str">
        <f>IF(N131="","",INDEX(am_crit,N131)&amp;"")</f>
        <v/>
      </c>
      <c r="G131" s="67" t="str">
        <f>IF(N131="","",INDEX(am_action,N131)&amp;"")</f>
        <v/>
      </c>
      <c r="H131" s="67" t="str">
        <f>IF(N131="","",INDEX(am_who,N131)&amp;"")</f>
        <v/>
      </c>
      <c r="I131" s="68" t="str">
        <f>IF(N131="","",IF(N(INDEX(am_due,N131))&gt;0,INDEX(am_due,N131),""))</f>
        <v/>
      </c>
      <c r="J131" s="65" t="str">
        <f>IF(N131="","",INDEX(am_status,N131)&amp;"")</f>
        <v/>
      </c>
      <c r="K131" s="65" t="str">
        <f>IF(N131="","",INDEX(am_suivi,N131)&amp;"")</f>
        <v/>
      </c>
      <c r="L131" s="65" t="str">
        <f>IF(K131="En retard",p_today-I131,"")</f>
        <v/>
      </c>
      <c r="M131" s="69" t="str">
        <f>IF(N131="","",IF(ISNUMBER(INDEX(am_cost,N131)),INDEX(am_cost,N131),""))</f>
        <v/>
      </c>
      <c r="N131" s="66" t="str">
        <f>IFERROR(MATCH(SMALL(am_plankey,125),am_plankey,0),"")</f>
        <v/>
      </c>
    </row>
    <row r="132" ht="30" customHeight="1">
      <c r="A132" s="65" t="str">
        <f>IF(N132="","",126)</f>
        <v/>
      </c>
      <c r="B132" s="66" t="str">
        <f>IF(N132="","",INDEX(am_num,N132)&amp;"")</f>
        <v/>
      </c>
      <c r="C132" s="67" t="str">
        <f>IF(N132="","",INDEX(am_step,N132)&amp;"")</f>
        <v/>
      </c>
      <c r="D132" s="67" t="str">
        <f>IF(N132="","",INDEX(am_mode,N132)&amp;"")</f>
        <v/>
      </c>
      <c r="E132" s="65" t="str">
        <f>IF(N132="","",INDEX(am_ipr,N132))</f>
        <v/>
      </c>
      <c r="F132" s="65" t="str">
        <f>IF(N132="","",INDEX(am_crit,N132)&amp;"")</f>
        <v/>
      </c>
      <c r="G132" s="67" t="str">
        <f>IF(N132="","",INDEX(am_action,N132)&amp;"")</f>
        <v/>
      </c>
      <c r="H132" s="67" t="str">
        <f>IF(N132="","",INDEX(am_who,N132)&amp;"")</f>
        <v/>
      </c>
      <c r="I132" s="68" t="str">
        <f>IF(N132="","",IF(N(INDEX(am_due,N132))&gt;0,INDEX(am_due,N132),""))</f>
        <v/>
      </c>
      <c r="J132" s="65" t="str">
        <f>IF(N132="","",INDEX(am_status,N132)&amp;"")</f>
        <v/>
      </c>
      <c r="K132" s="65" t="str">
        <f>IF(N132="","",INDEX(am_suivi,N132)&amp;"")</f>
        <v/>
      </c>
      <c r="L132" s="65" t="str">
        <f>IF(K132="En retard",p_today-I132,"")</f>
        <v/>
      </c>
      <c r="M132" s="69" t="str">
        <f>IF(N132="","",IF(ISNUMBER(INDEX(am_cost,N132)),INDEX(am_cost,N132),""))</f>
        <v/>
      </c>
      <c r="N132" s="66" t="str">
        <f>IFERROR(MATCH(SMALL(am_plankey,126),am_plankey,0),"")</f>
        <v/>
      </c>
    </row>
    <row r="133" ht="30" customHeight="1">
      <c r="A133" s="65" t="str">
        <f>IF(N133="","",127)</f>
        <v/>
      </c>
      <c r="B133" s="66" t="str">
        <f>IF(N133="","",INDEX(am_num,N133)&amp;"")</f>
        <v/>
      </c>
      <c r="C133" s="67" t="str">
        <f>IF(N133="","",INDEX(am_step,N133)&amp;"")</f>
        <v/>
      </c>
      <c r="D133" s="67" t="str">
        <f>IF(N133="","",INDEX(am_mode,N133)&amp;"")</f>
        <v/>
      </c>
      <c r="E133" s="65" t="str">
        <f>IF(N133="","",INDEX(am_ipr,N133))</f>
        <v/>
      </c>
      <c r="F133" s="65" t="str">
        <f>IF(N133="","",INDEX(am_crit,N133)&amp;"")</f>
        <v/>
      </c>
      <c r="G133" s="67" t="str">
        <f>IF(N133="","",INDEX(am_action,N133)&amp;"")</f>
        <v/>
      </c>
      <c r="H133" s="67" t="str">
        <f>IF(N133="","",INDEX(am_who,N133)&amp;"")</f>
        <v/>
      </c>
      <c r="I133" s="68" t="str">
        <f>IF(N133="","",IF(N(INDEX(am_due,N133))&gt;0,INDEX(am_due,N133),""))</f>
        <v/>
      </c>
      <c r="J133" s="65" t="str">
        <f>IF(N133="","",INDEX(am_status,N133)&amp;"")</f>
        <v/>
      </c>
      <c r="K133" s="65" t="str">
        <f>IF(N133="","",INDEX(am_suivi,N133)&amp;"")</f>
        <v/>
      </c>
      <c r="L133" s="65" t="str">
        <f>IF(K133="En retard",p_today-I133,"")</f>
        <v/>
      </c>
      <c r="M133" s="69" t="str">
        <f>IF(N133="","",IF(ISNUMBER(INDEX(am_cost,N133)),INDEX(am_cost,N133),""))</f>
        <v/>
      </c>
      <c r="N133" s="66" t="str">
        <f>IFERROR(MATCH(SMALL(am_plankey,127),am_plankey,0),"")</f>
        <v/>
      </c>
    </row>
    <row r="134" ht="30" customHeight="1">
      <c r="A134" s="65" t="str">
        <f>IF(N134="","",128)</f>
        <v/>
      </c>
      <c r="B134" s="66" t="str">
        <f>IF(N134="","",INDEX(am_num,N134)&amp;"")</f>
        <v/>
      </c>
      <c r="C134" s="67" t="str">
        <f>IF(N134="","",INDEX(am_step,N134)&amp;"")</f>
        <v/>
      </c>
      <c r="D134" s="67" t="str">
        <f>IF(N134="","",INDEX(am_mode,N134)&amp;"")</f>
        <v/>
      </c>
      <c r="E134" s="65" t="str">
        <f>IF(N134="","",INDEX(am_ipr,N134))</f>
        <v/>
      </c>
      <c r="F134" s="65" t="str">
        <f>IF(N134="","",INDEX(am_crit,N134)&amp;"")</f>
        <v/>
      </c>
      <c r="G134" s="67" t="str">
        <f>IF(N134="","",INDEX(am_action,N134)&amp;"")</f>
        <v/>
      </c>
      <c r="H134" s="67" t="str">
        <f>IF(N134="","",INDEX(am_who,N134)&amp;"")</f>
        <v/>
      </c>
      <c r="I134" s="68" t="str">
        <f>IF(N134="","",IF(N(INDEX(am_due,N134))&gt;0,INDEX(am_due,N134),""))</f>
        <v/>
      </c>
      <c r="J134" s="65" t="str">
        <f>IF(N134="","",INDEX(am_status,N134)&amp;"")</f>
        <v/>
      </c>
      <c r="K134" s="65" t="str">
        <f>IF(N134="","",INDEX(am_suivi,N134)&amp;"")</f>
        <v/>
      </c>
      <c r="L134" s="65" t="str">
        <f>IF(K134="En retard",p_today-I134,"")</f>
        <v/>
      </c>
      <c r="M134" s="69" t="str">
        <f>IF(N134="","",IF(ISNUMBER(INDEX(am_cost,N134)),INDEX(am_cost,N134),""))</f>
        <v/>
      </c>
      <c r="N134" s="66" t="str">
        <f>IFERROR(MATCH(SMALL(am_plankey,128),am_plankey,0),"")</f>
        <v/>
      </c>
    </row>
    <row r="135" ht="30" customHeight="1">
      <c r="A135" s="65" t="str">
        <f>IF(N135="","",129)</f>
        <v/>
      </c>
      <c r="B135" s="66" t="str">
        <f>IF(N135="","",INDEX(am_num,N135)&amp;"")</f>
        <v/>
      </c>
      <c r="C135" s="67" t="str">
        <f>IF(N135="","",INDEX(am_step,N135)&amp;"")</f>
        <v/>
      </c>
      <c r="D135" s="67" t="str">
        <f>IF(N135="","",INDEX(am_mode,N135)&amp;"")</f>
        <v/>
      </c>
      <c r="E135" s="65" t="str">
        <f>IF(N135="","",INDEX(am_ipr,N135))</f>
        <v/>
      </c>
      <c r="F135" s="65" t="str">
        <f>IF(N135="","",INDEX(am_crit,N135)&amp;"")</f>
        <v/>
      </c>
      <c r="G135" s="67" t="str">
        <f>IF(N135="","",INDEX(am_action,N135)&amp;"")</f>
        <v/>
      </c>
      <c r="H135" s="67" t="str">
        <f>IF(N135="","",INDEX(am_who,N135)&amp;"")</f>
        <v/>
      </c>
      <c r="I135" s="68" t="str">
        <f>IF(N135="","",IF(N(INDEX(am_due,N135))&gt;0,INDEX(am_due,N135),""))</f>
        <v/>
      </c>
      <c r="J135" s="65" t="str">
        <f>IF(N135="","",INDEX(am_status,N135)&amp;"")</f>
        <v/>
      </c>
      <c r="K135" s="65" t="str">
        <f>IF(N135="","",INDEX(am_suivi,N135)&amp;"")</f>
        <v/>
      </c>
      <c r="L135" s="65" t="str">
        <f>IF(K135="En retard",p_today-I135,"")</f>
        <v/>
      </c>
      <c r="M135" s="69" t="str">
        <f>IF(N135="","",IF(ISNUMBER(INDEX(am_cost,N135)),INDEX(am_cost,N135),""))</f>
        <v/>
      </c>
      <c r="N135" s="66" t="str">
        <f>IFERROR(MATCH(SMALL(am_plankey,129),am_plankey,0),"")</f>
        <v/>
      </c>
    </row>
    <row r="136" ht="30" customHeight="1">
      <c r="A136" s="65" t="str">
        <f>IF(N136="","",130)</f>
        <v/>
      </c>
      <c r="B136" s="66" t="str">
        <f>IF(N136="","",INDEX(am_num,N136)&amp;"")</f>
        <v/>
      </c>
      <c r="C136" s="67" t="str">
        <f>IF(N136="","",INDEX(am_step,N136)&amp;"")</f>
        <v/>
      </c>
      <c r="D136" s="67" t="str">
        <f>IF(N136="","",INDEX(am_mode,N136)&amp;"")</f>
        <v/>
      </c>
      <c r="E136" s="65" t="str">
        <f>IF(N136="","",INDEX(am_ipr,N136))</f>
        <v/>
      </c>
      <c r="F136" s="65" t="str">
        <f>IF(N136="","",INDEX(am_crit,N136)&amp;"")</f>
        <v/>
      </c>
      <c r="G136" s="67" t="str">
        <f>IF(N136="","",INDEX(am_action,N136)&amp;"")</f>
        <v/>
      </c>
      <c r="H136" s="67" t="str">
        <f>IF(N136="","",INDEX(am_who,N136)&amp;"")</f>
        <v/>
      </c>
      <c r="I136" s="68" t="str">
        <f>IF(N136="","",IF(N(INDEX(am_due,N136))&gt;0,INDEX(am_due,N136),""))</f>
        <v/>
      </c>
      <c r="J136" s="65" t="str">
        <f>IF(N136="","",INDEX(am_status,N136)&amp;"")</f>
        <v/>
      </c>
      <c r="K136" s="65" t="str">
        <f>IF(N136="","",INDEX(am_suivi,N136)&amp;"")</f>
        <v/>
      </c>
      <c r="L136" s="65" t="str">
        <f>IF(K136="En retard",p_today-I136,"")</f>
        <v/>
      </c>
      <c r="M136" s="69" t="str">
        <f>IF(N136="","",IF(ISNUMBER(INDEX(am_cost,N136)),INDEX(am_cost,N136),""))</f>
        <v/>
      </c>
      <c r="N136" s="66" t="str">
        <f>IFERROR(MATCH(SMALL(am_plankey,130),am_plankey,0),"")</f>
        <v/>
      </c>
    </row>
    <row r="137" ht="30" customHeight="1">
      <c r="A137" s="65" t="str">
        <f>IF(N137="","",131)</f>
        <v/>
      </c>
      <c r="B137" s="66" t="str">
        <f>IF(N137="","",INDEX(am_num,N137)&amp;"")</f>
        <v/>
      </c>
      <c r="C137" s="67" t="str">
        <f>IF(N137="","",INDEX(am_step,N137)&amp;"")</f>
        <v/>
      </c>
      <c r="D137" s="67" t="str">
        <f>IF(N137="","",INDEX(am_mode,N137)&amp;"")</f>
        <v/>
      </c>
      <c r="E137" s="65" t="str">
        <f>IF(N137="","",INDEX(am_ipr,N137))</f>
        <v/>
      </c>
      <c r="F137" s="65" t="str">
        <f>IF(N137="","",INDEX(am_crit,N137)&amp;"")</f>
        <v/>
      </c>
      <c r="G137" s="67" t="str">
        <f>IF(N137="","",INDEX(am_action,N137)&amp;"")</f>
        <v/>
      </c>
      <c r="H137" s="67" t="str">
        <f>IF(N137="","",INDEX(am_who,N137)&amp;"")</f>
        <v/>
      </c>
      <c r="I137" s="68" t="str">
        <f>IF(N137="","",IF(N(INDEX(am_due,N137))&gt;0,INDEX(am_due,N137),""))</f>
        <v/>
      </c>
      <c r="J137" s="65" t="str">
        <f>IF(N137="","",INDEX(am_status,N137)&amp;"")</f>
        <v/>
      </c>
      <c r="K137" s="65" t="str">
        <f>IF(N137="","",INDEX(am_suivi,N137)&amp;"")</f>
        <v/>
      </c>
      <c r="L137" s="65" t="str">
        <f>IF(K137="En retard",p_today-I137,"")</f>
        <v/>
      </c>
      <c r="M137" s="69" t="str">
        <f>IF(N137="","",IF(ISNUMBER(INDEX(am_cost,N137)),INDEX(am_cost,N137),""))</f>
        <v/>
      </c>
      <c r="N137" s="66" t="str">
        <f>IFERROR(MATCH(SMALL(am_plankey,131),am_plankey,0),"")</f>
        <v/>
      </c>
    </row>
    <row r="138" ht="30" customHeight="1">
      <c r="A138" s="65" t="str">
        <f>IF(N138="","",132)</f>
        <v/>
      </c>
      <c r="B138" s="66" t="str">
        <f>IF(N138="","",INDEX(am_num,N138)&amp;"")</f>
        <v/>
      </c>
      <c r="C138" s="67" t="str">
        <f>IF(N138="","",INDEX(am_step,N138)&amp;"")</f>
        <v/>
      </c>
      <c r="D138" s="67" t="str">
        <f>IF(N138="","",INDEX(am_mode,N138)&amp;"")</f>
        <v/>
      </c>
      <c r="E138" s="65" t="str">
        <f>IF(N138="","",INDEX(am_ipr,N138))</f>
        <v/>
      </c>
      <c r="F138" s="65" t="str">
        <f>IF(N138="","",INDEX(am_crit,N138)&amp;"")</f>
        <v/>
      </c>
      <c r="G138" s="67" t="str">
        <f>IF(N138="","",INDEX(am_action,N138)&amp;"")</f>
        <v/>
      </c>
      <c r="H138" s="67" t="str">
        <f>IF(N138="","",INDEX(am_who,N138)&amp;"")</f>
        <v/>
      </c>
      <c r="I138" s="68" t="str">
        <f>IF(N138="","",IF(N(INDEX(am_due,N138))&gt;0,INDEX(am_due,N138),""))</f>
        <v/>
      </c>
      <c r="J138" s="65" t="str">
        <f>IF(N138="","",INDEX(am_status,N138)&amp;"")</f>
        <v/>
      </c>
      <c r="K138" s="65" t="str">
        <f>IF(N138="","",INDEX(am_suivi,N138)&amp;"")</f>
        <v/>
      </c>
      <c r="L138" s="65" t="str">
        <f>IF(K138="En retard",p_today-I138,"")</f>
        <v/>
      </c>
      <c r="M138" s="69" t="str">
        <f>IF(N138="","",IF(ISNUMBER(INDEX(am_cost,N138)),INDEX(am_cost,N138),""))</f>
        <v/>
      </c>
      <c r="N138" s="66" t="str">
        <f>IFERROR(MATCH(SMALL(am_plankey,132),am_plankey,0),"")</f>
        <v/>
      </c>
    </row>
    <row r="139" ht="30" customHeight="1">
      <c r="A139" s="65" t="str">
        <f>IF(N139="","",133)</f>
        <v/>
      </c>
      <c r="B139" s="66" t="str">
        <f>IF(N139="","",INDEX(am_num,N139)&amp;"")</f>
        <v/>
      </c>
      <c r="C139" s="67" t="str">
        <f>IF(N139="","",INDEX(am_step,N139)&amp;"")</f>
        <v/>
      </c>
      <c r="D139" s="67" t="str">
        <f>IF(N139="","",INDEX(am_mode,N139)&amp;"")</f>
        <v/>
      </c>
      <c r="E139" s="65" t="str">
        <f>IF(N139="","",INDEX(am_ipr,N139))</f>
        <v/>
      </c>
      <c r="F139" s="65" t="str">
        <f>IF(N139="","",INDEX(am_crit,N139)&amp;"")</f>
        <v/>
      </c>
      <c r="G139" s="67" t="str">
        <f>IF(N139="","",INDEX(am_action,N139)&amp;"")</f>
        <v/>
      </c>
      <c r="H139" s="67" t="str">
        <f>IF(N139="","",INDEX(am_who,N139)&amp;"")</f>
        <v/>
      </c>
      <c r="I139" s="68" t="str">
        <f>IF(N139="","",IF(N(INDEX(am_due,N139))&gt;0,INDEX(am_due,N139),""))</f>
        <v/>
      </c>
      <c r="J139" s="65" t="str">
        <f>IF(N139="","",INDEX(am_status,N139)&amp;"")</f>
        <v/>
      </c>
      <c r="K139" s="65" t="str">
        <f>IF(N139="","",INDEX(am_suivi,N139)&amp;"")</f>
        <v/>
      </c>
      <c r="L139" s="65" t="str">
        <f>IF(K139="En retard",p_today-I139,"")</f>
        <v/>
      </c>
      <c r="M139" s="69" t="str">
        <f>IF(N139="","",IF(ISNUMBER(INDEX(am_cost,N139)),INDEX(am_cost,N139),""))</f>
        <v/>
      </c>
      <c r="N139" s="66" t="str">
        <f>IFERROR(MATCH(SMALL(am_plankey,133),am_plankey,0),"")</f>
        <v/>
      </c>
    </row>
    <row r="140" ht="30" customHeight="1">
      <c r="A140" s="65" t="str">
        <f>IF(N140="","",134)</f>
        <v/>
      </c>
      <c r="B140" s="66" t="str">
        <f>IF(N140="","",INDEX(am_num,N140)&amp;"")</f>
        <v/>
      </c>
      <c r="C140" s="67" t="str">
        <f>IF(N140="","",INDEX(am_step,N140)&amp;"")</f>
        <v/>
      </c>
      <c r="D140" s="67" t="str">
        <f>IF(N140="","",INDEX(am_mode,N140)&amp;"")</f>
        <v/>
      </c>
      <c r="E140" s="65" t="str">
        <f>IF(N140="","",INDEX(am_ipr,N140))</f>
        <v/>
      </c>
      <c r="F140" s="65" t="str">
        <f>IF(N140="","",INDEX(am_crit,N140)&amp;"")</f>
        <v/>
      </c>
      <c r="G140" s="67" t="str">
        <f>IF(N140="","",INDEX(am_action,N140)&amp;"")</f>
        <v/>
      </c>
      <c r="H140" s="67" t="str">
        <f>IF(N140="","",INDEX(am_who,N140)&amp;"")</f>
        <v/>
      </c>
      <c r="I140" s="68" t="str">
        <f>IF(N140="","",IF(N(INDEX(am_due,N140))&gt;0,INDEX(am_due,N140),""))</f>
        <v/>
      </c>
      <c r="J140" s="65" t="str">
        <f>IF(N140="","",INDEX(am_status,N140)&amp;"")</f>
        <v/>
      </c>
      <c r="K140" s="65" t="str">
        <f>IF(N140="","",INDEX(am_suivi,N140)&amp;"")</f>
        <v/>
      </c>
      <c r="L140" s="65" t="str">
        <f>IF(K140="En retard",p_today-I140,"")</f>
        <v/>
      </c>
      <c r="M140" s="69" t="str">
        <f>IF(N140="","",IF(ISNUMBER(INDEX(am_cost,N140)),INDEX(am_cost,N140),""))</f>
        <v/>
      </c>
      <c r="N140" s="66" t="str">
        <f>IFERROR(MATCH(SMALL(am_plankey,134),am_plankey,0),"")</f>
        <v/>
      </c>
    </row>
    <row r="141" ht="30" customHeight="1">
      <c r="A141" s="65" t="str">
        <f>IF(N141="","",135)</f>
        <v/>
      </c>
      <c r="B141" s="66" t="str">
        <f>IF(N141="","",INDEX(am_num,N141)&amp;"")</f>
        <v/>
      </c>
      <c r="C141" s="67" t="str">
        <f>IF(N141="","",INDEX(am_step,N141)&amp;"")</f>
        <v/>
      </c>
      <c r="D141" s="67" t="str">
        <f>IF(N141="","",INDEX(am_mode,N141)&amp;"")</f>
        <v/>
      </c>
      <c r="E141" s="65" t="str">
        <f>IF(N141="","",INDEX(am_ipr,N141))</f>
        <v/>
      </c>
      <c r="F141" s="65" t="str">
        <f>IF(N141="","",INDEX(am_crit,N141)&amp;"")</f>
        <v/>
      </c>
      <c r="G141" s="67" t="str">
        <f>IF(N141="","",INDEX(am_action,N141)&amp;"")</f>
        <v/>
      </c>
      <c r="H141" s="67" t="str">
        <f>IF(N141="","",INDEX(am_who,N141)&amp;"")</f>
        <v/>
      </c>
      <c r="I141" s="68" t="str">
        <f>IF(N141="","",IF(N(INDEX(am_due,N141))&gt;0,INDEX(am_due,N141),""))</f>
        <v/>
      </c>
      <c r="J141" s="65" t="str">
        <f>IF(N141="","",INDEX(am_status,N141)&amp;"")</f>
        <v/>
      </c>
      <c r="K141" s="65" t="str">
        <f>IF(N141="","",INDEX(am_suivi,N141)&amp;"")</f>
        <v/>
      </c>
      <c r="L141" s="65" t="str">
        <f>IF(K141="En retard",p_today-I141,"")</f>
        <v/>
      </c>
      <c r="M141" s="69" t="str">
        <f>IF(N141="","",IF(ISNUMBER(INDEX(am_cost,N141)),INDEX(am_cost,N141),""))</f>
        <v/>
      </c>
      <c r="N141" s="66" t="str">
        <f>IFERROR(MATCH(SMALL(am_plankey,135),am_plankey,0),"")</f>
        <v/>
      </c>
    </row>
    <row r="142" ht="30" customHeight="1">
      <c r="A142" s="65" t="str">
        <f>IF(N142="","",136)</f>
        <v/>
      </c>
      <c r="B142" s="66" t="str">
        <f>IF(N142="","",INDEX(am_num,N142)&amp;"")</f>
        <v/>
      </c>
      <c r="C142" s="67" t="str">
        <f>IF(N142="","",INDEX(am_step,N142)&amp;"")</f>
        <v/>
      </c>
      <c r="D142" s="67" t="str">
        <f>IF(N142="","",INDEX(am_mode,N142)&amp;"")</f>
        <v/>
      </c>
      <c r="E142" s="65" t="str">
        <f>IF(N142="","",INDEX(am_ipr,N142))</f>
        <v/>
      </c>
      <c r="F142" s="65" t="str">
        <f>IF(N142="","",INDEX(am_crit,N142)&amp;"")</f>
        <v/>
      </c>
      <c r="G142" s="67" t="str">
        <f>IF(N142="","",INDEX(am_action,N142)&amp;"")</f>
        <v/>
      </c>
      <c r="H142" s="67" t="str">
        <f>IF(N142="","",INDEX(am_who,N142)&amp;"")</f>
        <v/>
      </c>
      <c r="I142" s="68" t="str">
        <f>IF(N142="","",IF(N(INDEX(am_due,N142))&gt;0,INDEX(am_due,N142),""))</f>
        <v/>
      </c>
      <c r="J142" s="65" t="str">
        <f>IF(N142="","",INDEX(am_status,N142)&amp;"")</f>
        <v/>
      </c>
      <c r="K142" s="65" t="str">
        <f>IF(N142="","",INDEX(am_suivi,N142)&amp;"")</f>
        <v/>
      </c>
      <c r="L142" s="65" t="str">
        <f>IF(K142="En retard",p_today-I142,"")</f>
        <v/>
      </c>
      <c r="M142" s="69" t="str">
        <f>IF(N142="","",IF(ISNUMBER(INDEX(am_cost,N142)),INDEX(am_cost,N142),""))</f>
        <v/>
      </c>
      <c r="N142" s="66" t="str">
        <f>IFERROR(MATCH(SMALL(am_plankey,136),am_plankey,0),"")</f>
        <v/>
      </c>
    </row>
    <row r="143" ht="30" customHeight="1">
      <c r="A143" s="65" t="str">
        <f>IF(N143="","",137)</f>
        <v/>
      </c>
      <c r="B143" s="66" t="str">
        <f>IF(N143="","",INDEX(am_num,N143)&amp;"")</f>
        <v/>
      </c>
      <c r="C143" s="67" t="str">
        <f>IF(N143="","",INDEX(am_step,N143)&amp;"")</f>
        <v/>
      </c>
      <c r="D143" s="67" t="str">
        <f>IF(N143="","",INDEX(am_mode,N143)&amp;"")</f>
        <v/>
      </c>
      <c r="E143" s="65" t="str">
        <f>IF(N143="","",INDEX(am_ipr,N143))</f>
        <v/>
      </c>
      <c r="F143" s="65" t="str">
        <f>IF(N143="","",INDEX(am_crit,N143)&amp;"")</f>
        <v/>
      </c>
      <c r="G143" s="67" t="str">
        <f>IF(N143="","",INDEX(am_action,N143)&amp;"")</f>
        <v/>
      </c>
      <c r="H143" s="67" t="str">
        <f>IF(N143="","",INDEX(am_who,N143)&amp;"")</f>
        <v/>
      </c>
      <c r="I143" s="68" t="str">
        <f>IF(N143="","",IF(N(INDEX(am_due,N143))&gt;0,INDEX(am_due,N143),""))</f>
        <v/>
      </c>
      <c r="J143" s="65" t="str">
        <f>IF(N143="","",INDEX(am_status,N143)&amp;"")</f>
        <v/>
      </c>
      <c r="K143" s="65" t="str">
        <f>IF(N143="","",INDEX(am_suivi,N143)&amp;"")</f>
        <v/>
      </c>
      <c r="L143" s="65" t="str">
        <f>IF(K143="En retard",p_today-I143,"")</f>
        <v/>
      </c>
      <c r="M143" s="69" t="str">
        <f>IF(N143="","",IF(ISNUMBER(INDEX(am_cost,N143)),INDEX(am_cost,N143),""))</f>
        <v/>
      </c>
      <c r="N143" s="66" t="str">
        <f>IFERROR(MATCH(SMALL(am_plankey,137),am_plankey,0),"")</f>
        <v/>
      </c>
    </row>
    <row r="144" ht="30" customHeight="1">
      <c r="A144" s="65" t="str">
        <f>IF(N144="","",138)</f>
        <v/>
      </c>
      <c r="B144" s="66" t="str">
        <f>IF(N144="","",INDEX(am_num,N144)&amp;"")</f>
        <v/>
      </c>
      <c r="C144" s="67" t="str">
        <f>IF(N144="","",INDEX(am_step,N144)&amp;"")</f>
        <v/>
      </c>
      <c r="D144" s="67" t="str">
        <f>IF(N144="","",INDEX(am_mode,N144)&amp;"")</f>
        <v/>
      </c>
      <c r="E144" s="65" t="str">
        <f>IF(N144="","",INDEX(am_ipr,N144))</f>
        <v/>
      </c>
      <c r="F144" s="65" t="str">
        <f>IF(N144="","",INDEX(am_crit,N144)&amp;"")</f>
        <v/>
      </c>
      <c r="G144" s="67" t="str">
        <f>IF(N144="","",INDEX(am_action,N144)&amp;"")</f>
        <v/>
      </c>
      <c r="H144" s="67" t="str">
        <f>IF(N144="","",INDEX(am_who,N144)&amp;"")</f>
        <v/>
      </c>
      <c r="I144" s="68" t="str">
        <f>IF(N144="","",IF(N(INDEX(am_due,N144))&gt;0,INDEX(am_due,N144),""))</f>
        <v/>
      </c>
      <c r="J144" s="65" t="str">
        <f>IF(N144="","",INDEX(am_status,N144)&amp;"")</f>
        <v/>
      </c>
      <c r="K144" s="65" t="str">
        <f>IF(N144="","",INDEX(am_suivi,N144)&amp;"")</f>
        <v/>
      </c>
      <c r="L144" s="65" t="str">
        <f>IF(K144="En retard",p_today-I144,"")</f>
        <v/>
      </c>
      <c r="M144" s="69" t="str">
        <f>IF(N144="","",IF(ISNUMBER(INDEX(am_cost,N144)),INDEX(am_cost,N144),""))</f>
        <v/>
      </c>
      <c r="N144" s="66" t="str">
        <f>IFERROR(MATCH(SMALL(am_plankey,138),am_plankey,0),"")</f>
        <v/>
      </c>
    </row>
    <row r="145" ht="30" customHeight="1">
      <c r="A145" s="65" t="str">
        <f>IF(N145="","",139)</f>
        <v/>
      </c>
      <c r="B145" s="66" t="str">
        <f>IF(N145="","",INDEX(am_num,N145)&amp;"")</f>
        <v/>
      </c>
      <c r="C145" s="67" t="str">
        <f>IF(N145="","",INDEX(am_step,N145)&amp;"")</f>
        <v/>
      </c>
      <c r="D145" s="67" t="str">
        <f>IF(N145="","",INDEX(am_mode,N145)&amp;"")</f>
        <v/>
      </c>
      <c r="E145" s="65" t="str">
        <f>IF(N145="","",INDEX(am_ipr,N145))</f>
        <v/>
      </c>
      <c r="F145" s="65" t="str">
        <f>IF(N145="","",INDEX(am_crit,N145)&amp;"")</f>
        <v/>
      </c>
      <c r="G145" s="67" t="str">
        <f>IF(N145="","",INDEX(am_action,N145)&amp;"")</f>
        <v/>
      </c>
      <c r="H145" s="67" t="str">
        <f>IF(N145="","",INDEX(am_who,N145)&amp;"")</f>
        <v/>
      </c>
      <c r="I145" s="68" t="str">
        <f>IF(N145="","",IF(N(INDEX(am_due,N145))&gt;0,INDEX(am_due,N145),""))</f>
        <v/>
      </c>
      <c r="J145" s="65" t="str">
        <f>IF(N145="","",INDEX(am_status,N145)&amp;"")</f>
        <v/>
      </c>
      <c r="K145" s="65" t="str">
        <f>IF(N145="","",INDEX(am_suivi,N145)&amp;"")</f>
        <v/>
      </c>
      <c r="L145" s="65" t="str">
        <f>IF(K145="En retard",p_today-I145,"")</f>
        <v/>
      </c>
      <c r="M145" s="69" t="str">
        <f>IF(N145="","",IF(ISNUMBER(INDEX(am_cost,N145)),INDEX(am_cost,N145),""))</f>
        <v/>
      </c>
      <c r="N145" s="66" t="str">
        <f>IFERROR(MATCH(SMALL(am_plankey,139),am_plankey,0),"")</f>
        <v/>
      </c>
    </row>
    <row r="146" ht="30" customHeight="1">
      <c r="A146" s="65" t="str">
        <f>IF(N146="","",140)</f>
        <v/>
      </c>
      <c r="B146" s="66" t="str">
        <f>IF(N146="","",INDEX(am_num,N146)&amp;"")</f>
        <v/>
      </c>
      <c r="C146" s="67" t="str">
        <f>IF(N146="","",INDEX(am_step,N146)&amp;"")</f>
        <v/>
      </c>
      <c r="D146" s="67" t="str">
        <f>IF(N146="","",INDEX(am_mode,N146)&amp;"")</f>
        <v/>
      </c>
      <c r="E146" s="65" t="str">
        <f>IF(N146="","",INDEX(am_ipr,N146))</f>
        <v/>
      </c>
      <c r="F146" s="65" t="str">
        <f>IF(N146="","",INDEX(am_crit,N146)&amp;"")</f>
        <v/>
      </c>
      <c r="G146" s="67" t="str">
        <f>IF(N146="","",INDEX(am_action,N146)&amp;"")</f>
        <v/>
      </c>
      <c r="H146" s="67" t="str">
        <f>IF(N146="","",INDEX(am_who,N146)&amp;"")</f>
        <v/>
      </c>
      <c r="I146" s="68" t="str">
        <f>IF(N146="","",IF(N(INDEX(am_due,N146))&gt;0,INDEX(am_due,N146),""))</f>
        <v/>
      </c>
      <c r="J146" s="65" t="str">
        <f>IF(N146="","",INDEX(am_status,N146)&amp;"")</f>
        <v/>
      </c>
      <c r="K146" s="65" t="str">
        <f>IF(N146="","",INDEX(am_suivi,N146)&amp;"")</f>
        <v/>
      </c>
      <c r="L146" s="65" t="str">
        <f>IF(K146="En retard",p_today-I146,"")</f>
        <v/>
      </c>
      <c r="M146" s="69" t="str">
        <f>IF(N146="","",IF(ISNUMBER(INDEX(am_cost,N146)),INDEX(am_cost,N146),""))</f>
        <v/>
      </c>
      <c r="N146" s="66" t="str">
        <f>IFERROR(MATCH(SMALL(am_plankey,140),am_plankey,0),"")</f>
        <v/>
      </c>
    </row>
    <row r="147" ht="30" customHeight="1">
      <c r="A147" s="65" t="str">
        <f>IF(N147="","",141)</f>
        <v/>
      </c>
      <c r="B147" s="66" t="str">
        <f>IF(N147="","",INDEX(am_num,N147)&amp;"")</f>
        <v/>
      </c>
      <c r="C147" s="67" t="str">
        <f>IF(N147="","",INDEX(am_step,N147)&amp;"")</f>
        <v/>
      </c>
      <c r="D147" s="67" t="str">
        <f>IF(N147="","",INDEX(am_mode,N147)&amp;"")</f>
        <v/>
      </c>
      <c r="E147" s="65" t="str">
        <f>IF(N147="","",INDEX(am_ipr,N147))</f>
        <v/>
      </c>
      <c r="F147" s="65" t="str">
        <f>IF(N147="","",INDEX(am_crit,N147)&amp;"")</f>
        <v/>
      </c>
      <c r="G147" s="67" t="str">
        <f>IF(N147="","",INDEX(am_action,N147)&amp;"")</f>
        <v/>
      </c>
      <c r="H147" s="67" t="str">
        <f>IF(N147="","",INDEX(am_who,N147)&amp;"")</f>
        <v/>
      </c>
      <c r="I147" s="68" t="str">
        <f>IF(N147="","",IF(N(INDEX(am_due,N147))&gt;0,INDEX(am_due,N147),""))</f>
        <v/>
      </c>
      <c r="J147" s="65" t="str">
        <f>IF(N147="","",INDEX(am_status,N147)&amp;"")</f>
        <v/>
      </c>
      <c r="K147" s="65" t="str">
        <f>IF(N147="","",INDEX(am_suivi,N147)&amp;"")</f>
        <v/>
      </c>
      <c r="L147" s="65" t="str">
        <f>IF(K147="En retard",p_today-I147,"")</f>
        <v/>
      </c>
      <c r="M147" s="69" t="str">
        <f>IF(N147="","",IF(ISNUMBER(INDEX(am_cost,N147)),INDEX(am_cost,N147),""))</f>
        <v/>
      </c>
      <c r="N147" s="66" t="str">
        <f>IFERROR(MATCH(SMALL(am_plankey,141),am_plankey,0),"")</f>
        <v/>
      </c>
    </row>
    <row r="148" ht="30" customHeight="1">
      <c r="A148" s="65" t="str">
        <f>IF(N148="","",142)</f>
        <v/>
      </c>
      <c r="B148" s="66" t="str">
        <f>IF(N148="","",INDEX(am_num,N148)&amp;"")</f>
        <v/>
      </c>
      <c r="C148" s="67" t="str">
        <f>IF(N148="","",INDEX(am_step,N148)&amp;"")</f>
        <v/>
      </c>
      <c r="D148" s="67" t="str">
        <f>IF(N148="","",INDEX(am_mode,N148)&amp;"")</f>
        <v/>
      </c>
      <c r="E148" s="65" t="str">
        <f>IF(N148="","",INDEX(am_ipr,N148))</f>
        <v/>
      </c>
      <c r="F148" s="65" t="str">
        <f>IF(N148="","",INDEX(am_crit,N148)&amp;"")</f>
        <v/>
      </c>
      <c r="G148" s="67" t="str">
        <f>IF(N148="","",INDEX(am_action,N148)&amp;"")</f>
        <v/>
      </c>
      <c r="H148" s="67" t="str">
        <f>IF(N148="","",INDEX(am_who,N148)&amp;"")</f>
        <v/>
      </c>
      <c r="I148" s="68" t="str">
        <f>IF(N148="","",IF(N(INDEX(am_due,N148))&gt;0,INDEX(am_due,N148),""))</f>
        <v/>
      </c>
      <c r="J148" s="65" t="str">
        <f>IF(N148="","",INDEX(am_status,N148)&amp;"")</f>
        <v/>
      </c>
      <c r="K148" s="65" t="str">
        <f>IF(N148="","",INDEX(am_suivi,N148)&amp;"")</f>
        <v/>
      </c>
      <c r="L148" s="65" t="str">
        <f>IF(K148="En retard",p_today-I148,"")</f>
        <v/>
      </c>
      <c r="M148" s="69" t="str">
        <f>IF(N148="","",IF(ISNUMBER(INDEX(am_cost,N148)),INDEX(am_cost,N148),""))</f>
        <v/>
      </c>
      <c r="N148" s="66" t="str">
        <f>IFERROR(MATCH(SMALL(am_plankey,142),am_plankey,0),"")</f>
        <v/>
      </c>
    </row>
    <row r="149" ht="30" customHeight="1">
      <c r="A149" s="65" t="str">
        <f>IF(N149="","",143)</f>
        <v/>
      </c>
      <c r="B149" s="66" t="str">
        <f>IF(N149="","",INDEX(am_num,N149)&amp;"")</f>
        <v/>
      </c>
      <c r="C149" s="67" t="str">
        <f>IF(N149="","",INDEX(am_step,N149)&amp;"")</f>
        <v/>
      </c>
      <c r="D149" s="67" t="str">
        <f>IF(N149="","",INDEX(am_mode,N149)&amp;"")</f>
        <v/>
      </c>
      <c r="E149" s="65" t="str">
        <f>IF(N149="","",INDEX(am_ipr,N149))</f>
        <v/>
      </c>
      <c r="F149" s="65" t="str">
        <f>IF(N149="","",INDEX(am_crit,N149)&amp;"")</f>
        <v/>
      </c>
      <c r="G149" s="67" t="str">
        <f>IF(N149="","",INDEX(am_action,N149)&amp;"")</f>
        <v/>
      </c>
      <c r="H149" s="67" t="str">
        <f>IF(N149="","",INDEX(am_who,N149)&amp;"")</f>
        <v/>
      </c>
      <c r="I149" s="68" t="str">
        <f>IF(N149="","",IF(N(INDEX(am_due,N149))&gt;0,INDEX(am_due,N149),""))</f>
        <v/>
      </c>
      <c r="J149" s="65" t="str">
        <f>IF(N149="","",INDEX(am_status,N149)&amp;"")</f>
        <v/>
      </c>
      <c r="K149" s="65" t="str">
        <f>IF(N149="","",INDEX(am_suivi,N149)&amp;"")</f>
        <v/>
      </c>
      <c r="L149" s="65" t="str">
        <f>IF(K149="En retard",p_today-I149,"")</f>
        <v/>
      </c>
      <c r="M149" s="69" t="str">
        <f>IF(N149="","",IF(ISNUMBER(INDEX(am_cost,N149)),INDEX(am_cost,N149),""))</f>
        <v/>
      </c>
      <c r="N149" s="66" t="str">
        <f>IFERROR(MATCH(SMALL(am_plankey,143),am_plankey,0),"")</f>
        <v/>
      </c>
    </row>
    <row r="150" ht="30" customHeight="1">
      <c r="A150" s="65" t="str">
        <f>IF(N150="","",144)</f>
        <v/>
      </c>
      <c r="B150" s="66" t="str">
        <f>IF(N150="","",INDEX(am_num,N150)&amp;"")</f>
        <v/>
      </c>
      <c r="C150" s="67" t="str">
        <f>IF(N150="","",INDEX(am_step,N150)&amp;"")</f>
        <v/>
      </c>
      <c r="D150" s="67" t="str">
        <f>IF(N150="","",INDEX(am_mode,N150)&amp;"")</f>
        <v/>
      </c>
      <c r="E150" s="65" t="str">
        <f>IF(N150="","",INDEX(am_ipr,N150))</f>
        <v/>
      </c>
      <c r="F150" s="65" t="str">
        <f>IF(N150="","",INDEX(am_crit,N150)&amp;"")</f>
        <v/>
      </c>
      <c r="G150" s="67" t="str">
        <f>IF(N150="","",INDEX(am_action,N150)&amp;"")</f>
        <v/>
      </c>
      <c r="H150" s="67" t="str">
        <f>IF(N150="","",INDEX(am_who,N150)&amp;"")</f>
        <v/>
      </c>
      <c r="I150" s="68" t="str">
        <f>IF(N150="","",IF(N(INDEX(am_due,N150))&gt;0,INDEX(am_due,N150),""))</f>
        <v/>
      </c>
      <c r="J150" s="65" t="str">
        <f>IF(N150="","",INDEX(am_status,N150)&amp;"")</f>
        <v/>
      </c>
      <c r="K150" s="65" t="str">
        <f>IF(N150="","",INDEX(am_suivi,N150)&amp;"")</f>
        <v/>
      </c>
      <c r="L150" s="65" t="str">
        <f>IF(K150="En retard",p_today-I150,"")</f>
        <v/>
      </c>
      <c r="M150" s="69" t="str">
        <f>IF(N150="","",IF(ISNUMBER(INDEX(am_cost,N150)),INDEX(am_cost,N150),""))</f>
        <v/>
      </c>
      <c r="N150" s="66" t="str">
        <f>IFERROR(MATCH(SMALL(am_plankey,144),am_plankey,0),"")</f>
        <v/>
      </c>
    </row>
    <row r="151" ht="30" customHeight="1">
      <c r="A151" s="65" t="str">
        <f>IF(N151="","",145)</f>
        <v/>
      </c>
      <c r="B151" s="66" t="str">
        <f>IF(N151="","",INDEX(am_num,N151)&amp;"")</f>
        <v/>
      </c>
      <c r="C151" s="67" t="str">
        <f>IF(N151="","",INDEX(am_step,N151)&amp;"")</f>
        <v/>
      </c>
      <c r="D151" s="67" t="str">
        <f>IF(N151="","",INDEX(am_mode,N151)&amp;"")</f>
        <v/>
      </c>
      <c r="E151" s="65" t="str">
        <f>IF(N151="","",INDEX(am_ipr,N151))</f>
        <v/>
      </c>
      <c r="F151" s="65" t="str">
        <f>IF(N151="","",INDEX(am_crit,N151)&amp;"")</f>
        <v/>
      </c>
      <c r="G151" s="67" t="str">
        <f>IF(N151="","",INDEX(am_action,N151)&amp;"")</f>
        <v/>
      </c>
      <c r="H151" s="67" t="str">
        <f>IF(N151="","",INDEX(am_who,N151)&amp;"")</f>
        <v/>
      </c>
      <c r="I151" s="68" t="str">
        <f>IF(N151="","",IF(N(INDEX(am_due,N151))&gt;0,INDEX(am_due,N151),""))</f>
        <v/>
      </c>
      <c r="J151" s="65" t="str">
        <f>IF(N151="","",INDEX(am_status,N151)&amp;"")</f>
        <v/>
      </c>
      <c r="K151" s="65" t="str">
        <f>IF(N151="","",INDEX(am_suivi,N151)&amp;"")</f>
        <v/>
      </c>
      <c r="L151" s="65" t="str">
        <f>IF(K151="En retard",p_today-I151,"")</f>
        <v/>
      </c>
      <c r="M151" s="69" t="str">
        <f>IF(N151="","",IF(ISNUMBER(INDEX(am_cost,N151)),INDEX(am_cost,N151),""))</f>
        <v/>
      </c>
      <c r="N151" s="66" t="str">
        <f>IFERROR(MATCH(SMALL(am_plankey,145),am_plankey,0),"")</f>
        <v/>
      </c>
    </row>
    <row r="152" ht="30" customHeight="1">
      <c r="A152" s="65" t="str">
        <f>IF(N152="","",146)</f>
        <v/>
      </c>
      <c r="B152" s="66" t="str">
        <f>IF(N152="","",INDEX(am_num,N152)&amp;"")</f>
        <v/>
      </c>
      <c r="C152" s="67" t="str">
        <f>IF(N152="","",INDEX(am_step,N152)&amp;"")</f>
        <v/>
      </c>
      <c r="D152" s="67" t="str">
        <f>IF(N152="","",INDEX(am_mode,N152)&amp;"")</f>
        <v/>
      </c>
      <c r="E152" s="65" t="str">
        <f>IF(N152="","",INDEX(am_ipr,N152))</f>
        <v/>
      </c>
      <c r="F152" s="65" t="str">
        <f>IF(N152="","",INDEX(am_crit,N152)&amp;"")</f>
        <v/>
      </c>
      <c r="G152" s="67" t="str">
        <f>IF(N152="","",INDEX(am_action,N152)&amp;"")</f>
        <v/>
      </c>
      <c r="H152" s="67" t="str">
        <f>IF(N152="","",INDEX(am_who,N152)&amp;"")</f>
        <v/>
      </c>
      <c r="I152" s="68" t="str">
        <f>IF(N152="","",IF(N(INDEX(am_due,N152))&gt;0,INDEX(am_due,N152),""))</f>
        <v/>
      </c>
      <c r="J152" s="65" t="str">
        <f>IF(N152="","",INDEX(am_status,N152)&amp;"")</f>
        <v/>
      </c>
      <c r="K152" s="65" t="str">
        <f>IF(N152="","",INDEX(am_suivi,N152)&amp;"")</f>
        <v/>
      </c>
      <c r="L152" s="65" t="str">
        <f>IF(K152="En retard",p_today-I152,"")</f>
        <v/>
      </c>
      <c r="M152" s="69" t="str">
        <f>IF(N152="","",IF(ISNUMBER(INDEX(am_cost,N152)),INDEX(am_cost,N152),""))</f>
        <v/>
      </c>
      <c r="N152" s="66" t="str">
        <f>IFERROR(MATCH(SMALL(am_plankey,146),am_plankey,0),"")</f>
        <v/>
      </c>
    </row>
    <row r="153" ht="30" customHeight="1">
      <c r="A153" s="65" t="str">
        <f>IF(N153="","",147)</f>
        <v/>
      </c>
      <c r="B153" s="66" t="str">
        <f>IF(N153="","",INDEX(am_num,N153)&amp;"")</f>
        <v/>
      </c>
      <c r="C153" s="67" t="str">
        <f>IF(N153="","",INDEX(am_step,N153)&amp;"")</f>
        <v/>
      </c>
      <c r="D153" s="67" t="str">
        <f>IF(N153="","",INDEX(am_mode,N153)&amp;"")</f>
        <v/>
      </c>
      <c r="E153" s="65" t="str">
        <f>IF(N153="","",INDEX(am_ipr,N153))</f>
        <v/>
      </c>
      <c r="F153" s="65" t="str">
        <f>IF(N153="","",INDEX(am_crit,N153)&amp;"")</f>
        <v/>
      </c>
      <c r="G153" s="67" t="str">
        <f>IF(N153="","",INDEX(am_action,N153)&amp;"")</f>
        <v/>
      </c>
      <c r="H153" s="67" t="str">
        <f>IF(N153="","",INDEX(am_who,N153)&amp;"")</f>
        <v/>
      </c>
      <c r="I153" s="68" t="str">
        <f>IF(N153="","",IF(N(INDEX(am_due,N153))&gt;0,INDEX(am_due,N153),""))</f>
        <v/>
      </c>
      <c r="J153" s="65" t="str">
        <f>IF(N153="","",INDEX(am_status,N153)&amp;"")</f>
        <v/>
      </c>
      <c r="K153" s="65" t="str">
        <f>IF(N153="","",INDEX(am_suivi,N153)&amp;"")</f>
        <v/>
      </c>
      <c r="L153" s="65" t="str">
        <f>IF(K153="En retard",p_today-I153,"")</f>
        <v/>
      </c>
      <c r="M153" s="69" t="str">
        <f>IF(N153="","",IF(ISNUMBER(INDEX(am_cost,N153)),INDEX(am_cost,N153),""))</f>
        <v/>
      </c>
      <c r="N153" s="66" t="str">
        <f>IFERROR(MATCH(SMALL(am_plankey,147),am_plankey,0),"")</f>
        <v/>
      </c>
    </row>
    <row r="154" ht="30" customHeight="1">
      <c r="A154" s="65" t="str">
        <f>IF(N154="","",148)</f>
        <v/>
      </c>
      <c r="B154" s="66" t="str">
        <f>IF(N154="","",INDEX(am_num,N154)&amp;"")</f>
        <v/>
      </c>
      <c r="C154" s="67" t="str">
        <f>IF(N154="","",INDEX(am_step,N154)&amp;"")</f>
        <v/>
      </c>
      <c r="D154" s="67" t="str">
        <f>IF(N154="","",INDEX(am_mode,N154)&amp;"")</f>
        <v/>
      </c>
      <c r="E154" s="65" t="str">
        <f>IF(N154="","",INDEX(am_ipr,N154))</f>
        <v/>
      </c>
      <c r="F154" s="65" t="str">
        <f>IF(N154="","",INDEX(am_crit,N154)&amp;"")</f>
        <v/>
      </c>
      <c r="G154" s="67" t="str">
        <f>IF(N154="","",INDEX(am_action,N154)&amp;"")</f>
        <v/>
      </c>
      <c r="H154" s="67" t="str">
        <f>IF(N154="","",INDEX(am_who,N154)&amp;"")</f>
        <v/>
      </c>
      <c r="I154" s="68" t="str">
        <f>IF(N154="","",IF(N(INDEX(am_due,N154))&gt;0,INDEX(am_due,N154),""))</f>
        <v/>
      </c>
      <c r="J154" s="65" t="str">
        <f>IF(N154="","",INDEX(am_status,N154)&amp;"")</f>
        <v/>
      </c>
      <c r="K154" s="65" t="str">
        <f>IF(N154="","",INDEX(am_suivi,N154)&amp;"")</f>
        <v/>
      </c>
      <c r="L154" s="65" t="str">
        <f>IF(K154="En retard",p_today-I154,"")</f>
        <v/>
      </c>
      <c r="M154" s="69" t="str">
        <f>IF(N154="","",IF(ISNUMBER(INDEX(am_cost,N154)),INDEX(am_cost,N154),""))</f>
        <v/>
      </c>
      <c r="N154" s="66" t="str">
        <f>IFERROR(MATCH(SMALL(am_plankey,148),am_plankey,0),"")</f>
        <v/>
      </c>
    </row>
    <row r="155" ht="30" customHeight="1">
      <c r="A155" s="65" t="str">
        <f>IF(N155="","",149)</f>
        <v/>
      </c>
      <c r="B155" s="66" t="str">
        <f>IF(N155="","",INDEX(am_num,N155)&amp;"")</f>
        <v/>
      </c>
      <c r="C155" s="67" t="str">
        <f>IF(N155="","",INDEX(am_step,N155)&amp;"")</f>
        <v/>
      </c>
      <c r="D155" s="67" t="str">
        <f>IF(N155="","",INDEX(am_mode,N155)&amp;"")</f>
        <v/>
      </c>
      <c r="E155" s="65" t="str">
        <f>IF(N155="","",INDEX(am_ipr,N155))</f>
        <v/>
      </c>
      <c r="F155" s="65" t="str">
        <f>IF(N155="","",INDEX(am_crit,N155)&amp;"")</f>
        <v/>
      </c>
      <c r="G155" s="67" t="str">
        <f>IF(N155="","",INDEX(am_action,N155)&amp;"")</f>
        <v/>
      </c>
      <c r="H155" s="67" t="str">
        <f>IF(N155="","",INDEX(am_who,N155)&amp;"")</f>
        <v/>
      </c>
      <c r="I155" s="68" t="str">
        <f>IF(N155="","",IF(N(INDEX(am_due,N155))&gt;0,INDEX(am_due,N155),""))</f>
        <v/>
      </c>
      <c r="J155" s="65" t="str">
        <f>IF(N155="","",INDEX(am_status,N155)&amp;"")</f>
        <v/>
      </c>
      <c r="K155" s="65" t="str">
        <f>IF(N155="","",INDEX(am_suivi,N155)&amp;"")</f>
        <v/>
      </c>
      <c r="L155" s="65" t="str">
        <f>IF(K155="En retard",p_today-I155,"")</f>
        <v/>
      </c>
      <c r="M155" s="69" t="str">
        <f>IF(N155="","",IF(ISNUMBER(INDEX(am_cost,N155)),INDEX(am_cost,N155),""))</f>
        <v/>
      </c>
      <c r="N155" s="66" t="str">
        <f>IFERROR(MATCH(SMALL(am_plankey,149),am_plankey,0),"")</f>
        <v/>
      </c>
    </row>
    <row r="156" ht="30" customHeight="1">
      <c r="A156" s="65" t="str">
        <f>IF(N156="","",150)</f>
        <v/>
      </c>
      <c r="B156" s="66" t="str">
        <f>IF(N156="","",INDEX(am_num,N156)&amp;"")</f>
        <v/>
      </c>
      <c r="C156" s="67" t="str">
        <f>IF(N156="","",INDEX(am_step,N156)&amp;"")</f>
        <v/>
      </c>
      <c r="D156" s="67" t="str">
        <f>IF(N156="","",INDEX(am_mode,N156)&amp;"")</f>
        <v/>
      </c>
      <c r="E156" s="65" t="str">
        <f>IF(N156="","",INDEX(am_ipr,N156))</f>
        <v/>
      </c>
      <c r="F156" s="65" t="str">
        <f>IF(N156="","",INDEX(am_crit,N156)&amp;"")</f>
        <v/>
      </c>
      <c r="G156" s="67" t="str">
        <f>IF(N156="","",INDEX(am_action,N156)&amp;"")</f>
        <v/>
      </c>
      <c r="H156" s="67" t="str">
        <f>IF(N156="","",INDEX(am_who,N156)&amp;"")</f>
        <v/>
      </c>
      <c r="I156" s="68" t="str">
        <f>IF(N156="","",IF(N(INDEX(am_due,N156))&gt;0,INDEX(am_due,N156),""))</f>
        <v/>
      </c>
      <c r="J156" s="65" t="str">
        <f>IF(N156="","",INDEX(am_status,N156)&amp;"")</f>
        <v/>
      </c>
      <c r="K156" s="65" t="str">
        <f>IF(N156="","",INDEX(am_suivi,N156)&amp;"")</f>
        <v/>
      </c>
      <c r="L156" s="65" t="str">
        <f>IF(K156="En retard",p_today-I156,"")</f>
        <v/>
      </c>
      <c r="M156" s="69" t="str">
        <f>IF(N156="","",IF(ISNUMBER(INDEX(am_cost,N156)),INDEX(am_cost,N156),""))</f>
        <v/>
      </c>
      <c r="N156" s="66" t="str">
        <f>IFERROR(MATCH(SMALL(am_plankey,150),am_plankey,0),"")</f>
        <v/>
      </c>
    </row>
    <row r="157" ht="30" customHeight="1">
      <c r="A157" s="65" t="str">
        <f>IF(N157="","",151)</f>
        <v/>
      </c>
      <c r="B157" s="66" t="str">
        <f>IF(N157="","",INDEX(am_num,N157)&amp;"")</f>
        <v/>
      </c>
      <c r="C157" s="67" t="str">
        <f>IF(N157="","",INDEX(am_step,N157)&amp;"")</f>
        <v/>
      </c>
      <c r="D157" s="67" t="str">
        <f>IF(N157="","",INDEX(am_mode,N157)&amp;"")</f>
        <v/>
      </c>
      <c r="E157" s="65" t="str">
        <f>IF(N157="","",INDEX(am_ipr,N157))</f>
        <v/>
      </c>
      <c r="F157" s="65" t="str">
        <f>IF(N157="","",INDEX(am_crit,N157)&amp;"")</f>
        <v/>
      </c>
      <c r="G157" s="67" t="str">
        <f>IF(N157="","",INDEX(am_action,N157)&amp;"")</f>
        <v/>
      </c>
      <c r="H157" s="67" t="str">
        <f>IF(N157="","",INDEX(am_who,N157)&amp;"")</f>
        <v/>
      </c>
      <c r="I157" s="68" t="str">
        <f>IF(N157="","",IF(N(INDEX(am_due,N157))&gt;0,INDEX(am_due,N157),""))</f>
        <v/>
      </c>
      <c r="J157" s="65" t="str">
        <f>IF(N157="","",INDEX(am_status,N157)&amp;"")</f>
        <v/>
      </c>
      <c r="K157" s="65" t="str">
        <f>IF(N157="","",INDEX(am_suivi,N157)&amp;"")</f>
        <v/>
      </c>
      <c r="L157" s="65" t="str">
        <f>IF(K157="En retard",p_today-I157,"")</f>
        <v/>
      </c>
      <c r="M157" s="69" t="str">
        <f>IF(N157="","",IF(ISNUMBER(INDEX(am_cost,N157)),INDEX(am_cost,N157),""))</f>
        <v/>
      </c>
      <c r="N157" s="66" t="str">
        <f>IFERROR(MATCH(SMALL(am_plankey,151),am_plankey,0),"")</f>
        <v/>
      </c>
    </row>
    <row r="158" ht="30" customHeight="1">
      <c r="A158" s="65" t="str">
        <f>IF(N158="","",152)</f>
        <v/>
      </c>
      <c r="B158" s="66" t="str">
        <f>IF(N158="","",INDEX(am_num,N158)&amp;"")</f>
        <v/>
      </c>
      <c r="C158" s="67" t="str">
        <f>IF(N158="","",INDEX(am_step,N158)&amp;"")</f>
        <v/>
      </c>
      <c r="D158" s="67" t="str">
        <f>IF(N158="","",INDEX(am_mode,N158)&amp;"")</f>
        <v/>
      </c>
      <c r="E158" s="65" t="str">
        <f>IF(N158="","",INDEX(am_ipr,N158))</f>
        <v/>
      </c>
      <c r="F158" s="65" t="str">
        <f>IF(N158="","",INDEX(am_crit,N158)&amp;"")</f>
        <v/>
      </c>
      <c r="G158" s="67" t="str">
        <f>IF(N158="","",INDEX(am_action,N158)&amp;"")</f>
        <v/>
      </c>
      <c r="H158" s="67" t="str">
        <f>IF(N158="","",INDEX(am_who,N158)&amp;"")</f>
        <v/>
      </c>
      <c r="I158" s="68" t="str">
        <f>IF(N158="","",IF(N(INDEX(am_due,N158))&gt;0,INDEX(am_due,N158),""))</f>
        <v/>
      </c>
      <c r="J158" s="65" t="str">
        <f>IF(N158="","",INDEX(am_status,N158)&amp;"")</f>
        <v/>
      </c>
      <c r="K158" s="65" t="str">
        <f>IF(N158="","",INDEX(am_suivi,N158)&amp;"")</f>
        <v/>
      </c>
      <c r="L158" s="65" t="str">
        <f>IF(K158="En retard",p_today-I158,"")</f>
        <v/>
      </c>
      <c r="M158" s="69" t="str">
        <f>IF(N158="","",IF(ISNUMBER(INDEX(am_cost,N158)),INDEX(am_cost,N158),""))</f>
        <v/>
      </c>
      <c r="N158" s="66" t="str">
        <f>IFERROR(MATCH(SMALL(am_plankey,152),am_plankey,0),"")</f>
        <v/>
      </c>
    </row>
    <row r="159" ht="30" customHeight="1">
      <c r="A159" s="65" t="str">
        <f>IF(N159="","",153)</f>
        <v/>
      </c>
      <c r="B159" s="66" t="str">
        <f>IF(N159="","",INDEX(am_num,N159)&amp;"")</f>
        <v/>
      </c>
      <c r="C159" s="67" t="str">
        <f>IF(N159="","",INDEX(am_step,N159)&amp;"")</f>
        <v/>
      </c>
      <c r="D159" s="67" t="str">
        <f>IF(N159="","",INDEX(am_mode,N159)&amp;"")</f>
        <v/>
      </c>
      <c r="E159" s="65" t="str">
        <f>IF(N159="","",INDEX(am_ipr,N159))</f>
        <v/>
      </c>
      <c r="F159" s="65" t="str">
        <f>IF(N159="","",INDEX(am_crit,N159)&amp;"")</f>
        <v/>
      </c>
      <c r="G159" s="67" t="str">
        <f>IF(N159="","",INDEX(am_action,N159)&amp;"")</f>
        <v/>
      </c>
      <c r="H159" s="67" t="str">
        <f>IF(N159="","",INDEX(am_who,N159)&amp;"")</f>
        <v/>
      </c>
      <c r="I159" s="68" t="str">
        <f>IF(N159="","",IF(N(INDEX(am_due,N159))&gt;0,INDEX(am_due,N159),""))</f>
        <v/>
      </c>
      <c r="J159" s="65" t="str">
        <f>IF(N159="","",INDEX(am_status,N159)&amp;"")</f>
        <v/>
      </c>
      <c r="K159" s="65" t="str">
        <f>IF(N159="","",INDEX(am_suivi,N159)&amp;"")</f>
        <v/>
      </c>
      <c r="L159" s="65" t="str">
        <f>IF(K159="En retard",p_today-I159,"")</f>
        <v/>
      </c>
      <c r="M159" s="69" t="str">
        <f>IF(N159="","",IF(ISNUMBER(INDEX(am_cost,N159)),INDEX(am_cost,N159),""))</f>
        <v/>
      </c>
      <c r="N159" s="66" t="str">
        <f>IFERROR(MATCH(SMALL(am_plankey,153),am_plankey,0),"")</f>
        <v/>
      </c>
    </row>
    <row r="160" ht="30" customHeight="1">
      <c r="A160" s="65" t="str">
        <f>IF(N160="","",154)</f>
        <v/>
      </c>
      <c r="B160" s="66" t="str">
        <f>IF(N160="","",INDEX(am_num,N160)&amp;"")</f>
        <v/>
      </c>
      <c r="C160" s="67" t="str">
        <f>IF(N160="","",INDEX(am_step,N160)&amp;"")</f>
        <v/>
      </c>
      <c r="D160" s="67" t="str">
        <f>IF(N160="","",INDEX(am_mode,N160)&amp;"")</f>
        <v/>
      </c>
      <c r="E160" s="65" t="str">
        <f>IF(N160="","",INDEX(am_ipr,N160))</f>
        <v/>
      </c>
      <c r="F160" s="65" t="str">
        <f>IF(N160="","",INDEX(am_crit,N160)&amp;"")</f>
        <v/>
      </c>
      <c r="G160" s="67" t="str">
        <f>IF(N160="","",INDEX(am_action,N160)&amp;"")</f>
        <v/>
      </c>
      <c r="H160" s="67" t="str">
        <f>IF(N160="","",INDEX(am_who,N160)&amp;"")</f>
        <v/>
      </c>
      <c r="I160" s="68" t="str">
        <f>IF(N160="","",IF(N(INDEX(am_due,N160))&gt;0,INDEX(am_due,N160),""))</f>
        <v/>
      </c>
      <c r="J160" s="65" t="str">
        <f>IF(N160="","",INDEX(am_status,N160)&amp;"")</f>
        <v/>
      </c>
      <c r="K160" s="65" t="str">
        <f>IF(N160="","",INDEX(am_suivi,N160)&amp;"")</f>
        <v/>
      </c>
      <c r="L160" s="65" t="str">
        <f>IF(K160="En retard",p_today-I160,"")</f>
        <v/>
      </c>
      <c r="M160" s="69" t="str">
        <f>IF(N160="","",IF(ISNUMBER(INDEX(am_cost,N160)),INDEX(am_cost,N160),""))</f>
        <v/>
      </c>
      <c r="N160" s="66" t="str">
        <f>IFERROR(MATCH(SMALL(am_plankey,154),am_plankey,0),"")</f>
        <v/>
      </c>
    </row>
    <row r="161" ht="30" customHeight="1">
      <c r="A161" s="65" t="str">
        <f>IF(N161="","",155)</f>
        <v/>
      </c>
      <c r="B161" s="66" t="str">
        <f>IF(N161="","",INDEX(am_num,N161)&amp;"")</f>
        <v/>
      </c>
      <c r="C161" s="67" t="str">
        <f>IF(N161="","",INDEX(am_step,N161)&amp;"")</f>
        <v/>
      </c>
      <c r="D161" s="67" t="str">
        <f>IF(N161="","",INDEX(am_mode,N161)&amp;"")</f>
        <v/>
      </c>
      <c r="E161" s="65" t="str">
        <f>IF(N161="","",INDEX(am_ipr,N161))</f>
        <v/>
      </c>
      <c r="F161" s="65" t="str">
        <f>IF(N161="","",INDEX(am_crit,N161)&amp;"")</f>
        <v/>
      </c>
      <c r="G161" s="67" t="str">
        <f>IF(N161="","",INDEX(am_action,N161)&amp;"")</f>
        <v/>
      </c>
      <c r="H161" s="67" t="str">
        <f>IF(N161="","",INDEX(am_who,N161)&amp;"")</f>
        <v/>
      </c>
      <c r="I161" s="68" t="str">
        <f>IF(N161="","",IF(N(INDEX(am_due,N161))&gt;0,INDEX(am_due,N161),""))</f>
        <v/>
      </c>
      <c r="J161" s="65" t="str">
        <f>IF(N161="","",INDEX(am_status,N161)&amp;"")</f>
        <v/>
      </c>
      <c r="K161" s="65" t="str">
        <f>IF(N161="","",INDEX(am_suivi,N161)&amp;"")</f>
        <v/>
      </c>
      <c r="L161" s="65" t="str">
        <f>IF(K161="En retard",p_today-I161,"")</f>
        <v/>
      </c>
      <c r="M161" s="69" t="str">
        <f>IF(N161="","",IF(ISNUMBER(INDEX(am_cost,N161)),INDEX(am_cost,N161),""))</f>
        <v/>
      </c>
      <c r="N161" s="66" t="str">
        <f>IFERROR(MATCH(SMALL(am_plankey,155),am_plankey,0),"")</f>
        <v/>
      </c>
    </row>
    <row r="162" ht="30" customHeight="1">
      <c r="A162" s="65" t="str">
        <f>IF(N162="","",156)</f>
        <v/>
      </c>
      <c r="B162" s="66" t="str">
        <f>IF(N162="","",INDEX(am_num,N162)&amp;"")</f>
        <v/>
      </c>
      <c r="C162" s="67" t="str">
        <f>IF(N162="","",INDEX(am_step,N162)&amp;"")</f>
        <v/>
      </c>
      <c r="D162" s="67" t="str">
        <f>IF(N162="","",INDEX(am_mode,N162)&amp;"")</f>
        <v/>
      </c>
      <c r="E162" s="65" t="str">
        <f>IF(N162="","",INDEX(am_ipr,N162))</f>
        <v/>
      </c>
      <c r="F162" s="65" t="str">
        <f>IF(N162="","",INDEX(am_crit,N162)&amp;"")</f>
        <v/>
      </c>
      <c r="G162" s="67" t="str">
        <f>IF(N162="","",INDEX(am_action,N162)&amp;"")</f>
        <v/>
      </c>
      <c r="H162" s="67" t="str">
        <f>IF(N162="","",INDEX(am_who,N162)&amp;"")</f>
        <v/>
      </c>
      <c r="I162" s="68" t="str">
        <f>IF(N162="","",IF(N(INDEX(am_due,N162))&gt;0,INDEX(am_due,N162),""))</f>
        <v/>
      </c>
      <c r="J162" s="65" t="str">
        <f>IF(N162="","",INDEX(am_status,N162)&amp;"")</f>
        <v/>
      </c>
      <c r="K162" s="65" t="str">
        <f>IF(N162="","",INDEX(am_suivi,N162)&amp;"")</f>
        <v/>
      </c>
      <c r="L162" s="65" t="str">
        <f>IF(K162="En retard",p_today-I162,"")</f>
        <v/>
      </c>
      <c r="M162" s="69" t="str">
        <f>IF(N162="","",IF(ISNUMBER(INDEX(am_cost,N162)),INDEX(am_cost,N162),""))</f>
        <v/>
      </c>
      <c r="N162" s="66" t="str">
        <f>IFERROR(MATCH(SMALL(am_plankey,156),am_plankey,0),"")</f>
        <v/>
      </c>
    </row>
    <row r="163" ht="30" customHeight="1">
      <c r="A163" s="65" t="str">
        <f>IF(N163="","",157)</f>
        <v/>
      </c>
      <c r="B163" s="66" t="str">
        <f>IF(N163="","",INDEX(am_num,N163)&amp;"")</f>
        <v/>
      </c>
      <c r="C163" s="67" t="str">
        <f>IF(N163="","",INDEX(am_step,N163)&amp;"")</f>
        <v/>
      </c>
      <c r="D163" s="67" t="str">
        <f>IF(N163="","",INDEX(am_mode,N163)&amp;"")</f>
        <v/>
      </c>
      <c r="E163" s="65" t="str">
        <f>IF(N163="","",INDEX(am_ipr,N163))</f>
        <v/>
      </c>
      <c r="F163" s="65" t="str">
        <f>IF(N163="","",INDEX(am_crit,N163)&amp;"")</f>
        <v/>
      </c>
      <c r="G163" s="67" t="str">
        <f>IF(N163="","",INDEX(am_action,N163)&amp;"")</f>
        <v/>
      </c>
      <c r="H163" s="67" t="str">
        <f>IF(N163="","",INDEX(am_who,N163)&amp;"")</f>
        <v/>
      </c>
      <c r="I163" s="68" t="str">
        <f>IF(N163="","",IF(N(INDEX(am_due,N163))&gt;0,INDEX(am_due,N163),""))</f>
        <v/>
      </c>
      <c r="J163" s="65" t="str">
        <f>IF(N163="","",INDEX(am_status,N163)&amp;"")</f>
        <v/>
      </c>
      <c r="K163" s="65" t="str">
        <f>IF(N163="","",INDEX(am_suivi,N163)&amp;"")</f>
        <v/>
      </c>
      <c r="L163" s="65" t="str">
        <f>IF(K163="En retard",p_today-I163,"")</f>
        <v/>
      </c>
      <c r="M163" s="69" t="str">
        <f>IF(N163="","",IF(ISNUMBER(INDEX(am_cost,N163)),INDEX(am_cost,N163),""))</f>
        <v/>
      </c>
      <c r="N163" s="66" t="str">
        <f>IFERROR(MATCH(SMALL(am_plankey,157),am_plankey,0),"")</f>
        <v/>
      </c>
    </row>
    <row r="164" ht="30" customHeight="1">
      <c r="A164" s="65" t="str">
        <f>IF(N164="","",158)</f>
        <v/>
      </c>
      <c r="B164" s="66" t="str">
        <f>IF(N164="","",INDEX(am_num,N164)&amp;"")</f>
        <v/>
      </c>
      <c r="C164" s="67" t="str">
        <f>IF(N164="","",INDEX(am_step,N164)&amp;"")</f>
        <v/>
      </c>
      <c r="D164" s="67" t="str">
        <f>IF(N164="","",INDEX(am_mode,N164)&amp;"")</f>
        <v/>
      </c>
      <c r="E164" s="65" t="str">
        <f>IF(N164="","",INDEX(am_ipr,N164))</f>
        <v/>
      </c>
      <c r="F164" s="65" t="str">
        <f>IF(N164="","",INDEX(am_crit,N164)&amp;"")</f>
        <v/>
      </c>
      <c r="G164" s="67" t="str">
        <f>IF(N164="","",INDEX(am_action,N164)&amp;"")</f>
        <v/>
      </c>
      <c r="H164" s="67" t="str">
        <f>IF(N164="","",INDEX(am_who,N164)&amp;"")</f>
        <v/>
      </c>
      <c r="I164" s="68" t="str">
        <f>IF(N164="","",IF(N(INDEX(am_due,N164))&gt;0,INDEX(am_due,N164),""))</f>
        <v/>
      </c>
      <c r="J164" s="65" t="str">
        <f>IF(N164="","",INDEX(am_status,N164)&amp;"")</f>
        <v/>
      </c>
      <c r="K164" s="65" t="str">
        <f>IF(N164="","",INDEX(am_suivi,N164)&amp;"")</f>
        <v/>
      </c>
      <c r="L164" s="65" t="str">
        <f>IF(K164="En retard",p_today-I164,"")</f>
        <v/>
      </c>
      <c r="M164" s="69" t="str">
        <f>IF(N164="","",IF(ISNUMBER(INDEX(am_cost,N164)),INDEX(am_cost,N164),""))</f>
        <v/>
      </c>
      <c r="N164" s="66" t="str">
        <f>IFERROR(MATCH(SMALL(am_plankey,158),am_plankey,0),"")</f>
        <v/>
      </c>
    </row>
    <row r="165" ht="30" customHeight="1">
      <c r="A165" s="65" t="str">
        <f>IF(N165="","",159)</f>
        <v/>
      </c>
      <c r="B165" s="66" t="str">
        <f>IF(N165="","",INDEX(am_num,N165)&amp;"")</f>
        <v/>
      </c>
      <c r="C165" s="67" t="str">
        <f>IF(N165="","",INDEX(am_step,N165)&amp;"")</f>
        <v/>
      </c>
      <c r="D165" s="67" t="str">
        <f>IF(N165="","",INDEX(am_mode,N165)&amp;"")</f>
        <v/>
      </c>
      <c r="E165" s="65" t="str">
        <f>IF(N165="","",INDEX(am_ipr,N165))</f>
        <v/>
      </c>
      <c r="F165" s="65" t="str">
        <f>IF(N165="","",INDEX(am_crit,N165)&amp;"")</f>
        <v/>
      </c>
      <c r="G165" s="67" t="str">
        <f>IF(N165="","",INDEX(am_action,N165)&amp;"")</f>
        <v/>
      </c>
      <c r="H165" s="67" t="str">
        <f>IF(N165="","",INDEX(am_who,N165)&amp;"")</f>
        <v/>
      </c>
      <c r="I165" s="68" t="str">
        <f>IF(N165="","",IF(N(INDEX(am_due,N165))&gt;0,INDEX(am_due,N165),""))</f>
        <v/>
      </c>
      <c r="J165" s="65" t="str">
        <f>IF(N165="","",INDEX(am_status,N165)&amp;"")</f>
        <v/>
      </c>
      <c r="K165" s="65" t="str">
        <f>IF(N165="","",INDEX(am_suivi,N165)&amp;"")</f>
        <v/>
      </c>
      <c r="L165" s="65" t="str">
        <f>IF(K165="En retard",p_today-I165,"")</f>
        <v/>
      </c>
      <c r="M165" s="69" t="str">
        <f>IF(N165="","",IF(ISNUMBER(INDEX(am_cost,N165)),INDEX(am_cost,N165),""))</f>
        <v/>
      </c>
      <c r="N165" s="66" t="str">
        <f>IFERROR(MATCH(SMALL(am_plankey,159),am_plankey,0),"")</f>
        <v/>
      </c>
    </row>
    <row r="166" ht="30" customHeight="1">
      <c r="A166" s="65" t="str">
        <f>IF(N166="","",160)</f>
        <v/>
      </c>
      <c r="B166" s="66" t="str">
        <f>IF(N166="","",INDEX(am_num,N166)&amp;"")</f>
        <v/>
      </c>
      <c r="C166" s="67" t="str">
        <f>IF(N166="","",INDEX(am_step,N166)&amp;"")</f>
        <v/>
      </c>
      <c r="D166" s="67" t="str">
        <f>IF(N166="","",INDEX(am_mode,N166)&amp;"")</f>
        <v/>
      </c>
      <c r="E166" s="65" t="str">
        <f>IF(N166="","",INDEX(am_ipr,N166))</f>
        <v/>
      </c>
      <c r="F166" s="65" t="str">
        <f>IF(N166="","",INDEX(am_crit,N166)&amp;"")</f>
        <v/>
      </c>
      <c r="G166" s="67" t="str">
        <f>IF(N166="","",INDEX(am_action,N166)&amp;"")</f>
        <v/>
      </c>
      <c r="H166" s="67" t="str">
        <f>IF(N166="","",INDEX(am_who,N166)&amp;"")</f>
        <v/>
      </c>
      <c r="I166" s="68" t="str">
        <f>IF(N166="","",IF(N(INDEX(am_due,N166))&gt;0,INDEX(am_due,N166),""))</f>
        <v/>
      </c>
      <c r="J166" s="65" t="str">
        <f>IF(N166="","",INDEX(am_status,N166)&amp;"")</f>
        <v/>
      </c>
      <c r="K166" s="65" t="str">
        <f>IF(N166="","",INDEX(am_suivi,N166)&amp;"")</f>
        <v/>
      </c>
      <c r="L166" s="65" t="str">
        <f>IF(K166="En retard",p_today-I166,"")</f>
        <v/>
      </c>
      <c r="M166" s="69" t="str">
        <f>IF(N166="","",IF(ISNUMBER(INDEX(am_cost,N166)),INDEX(am_cost,N166),""))</f>
        <v/>
      </c>
      <c r="N166" s="66" t="str">
        <f>IFERROR(MATCH(SMALL(am_plankey,160),am_plankey,0),"")</f>
        <v/>
      </c>
    </row>
    <row r="167" ht="30" customHeight="1">
      <c r="A167" s="65" t="str">
        <f>IF(N167="","",161)</f>
        <v/>
      </c>
      <c r="B167" s="66" t="str">
        <f>IF(N167="","",INDEX(am_num,N167)&amp;"")</f>
        <v/>
      </c>
      <c r="C167" s="67" t="str">
        <f>IF(N167="","",INDEX(am_step,N167)&amp;"")</f>
        <v/>
      </c>
      <c r="D167" s="67" t="str">
        <f>IF(N167="","",INDEX(am_mode,N167)&amp;"")</f>
        <v/>
      </c>
      <c r="E167" s="65" t="str">
        <f>IF(N167="","",INDEX(am_ipr,N167))</f>
        <v/>
      </c>
      <c r="F167" s="65" t="str">
        <f>IF(N167="","",INDEX(am_crit,N167)&amp;"")</f>
        <v/>
      </c>
      <c r="G167" s="67" t="str">
        <f>IF(N167="","",INDEX(am_action,N167)&amp;"")</f>
        <v/>
      </c>
      <c r="H167" s="67" t="str">
        <f>IF(N167="","",INDEX(am_who,N167)&amp;"")</f>
        <v/>
      </c>
      <c r="I167" s="68" t="str">
        <f>IF(N167="","",IF(N(INDEX(am_due,N167))&gt;0,INDEX(am_due,N167),""))</f>
        <v/>
      </c>
      <c r="J167" s="65" t="str">
        <f>IF(N167="","",INDEX(am_status,N167)&amp;"")</f>
        <v/>
      </c>
      <c r="K167" s="65" t="str">
        <f>IF(N167="","",INDEX(am_suivi,N167)&amp;"")</f>
        <v/>
      </c>
      <c r="L167" s="65" t="str">
        <f>IF(K167="En retard",p_today-I167,"")</f>
        <v/>
      </c>
      <c r="M167" s="69" t="str">
        <f>IF(N167="","",IF(ISNUMBER(INDEX(am_cost,N167)),INDEX(am_cost,N167),""))</f>
        <v/>
      </c>
      <c r="N167" s="66" t="str">
        <f>IFERROR(MATCH(SMALL(am_plankey,161),am_plankey,0),"")</f>
        <v/>
      </c>
    </row>
    <row r="168" ht="30" customHeight="1">
      <c r="A168" s="65" t="str">
        <f>IF(N168="","",162)</f>
        <v/>
      </c>
      <c r="B168" s="66" t="str">
        <f>IF(N168="","",INDEX(am_num,N168)&amp;"")</f>
        <v/>
      </c>
      <c r="C168" s="67" t="str">
        <f>IF(N168="","",INDEX(am_step,N168)&amp;"")</f>
        <v/>
      </c>
      <c r="D168" s="67" t="str">
        <f>IF(N168="","",INDEX(am_mode,N168)&amp;"")</f>
        <v/>
      </c>
      <c r="E168" s="65" t="str">
        <f>IF(N168="","",INDEX(am_ipr,N168))</f>
        <v/>
      </c>
      <c r="F168" s="65" t="str">
        <f>IF(N168="","",INDEX(am_crit,N168)&amp;"")</f>
        <v/>
      </c>
      <c r="G168" s="67" t="str">
        <f>IF(N168="","",INDEX(am_action,N168)&amp;"")</f>
        <v/>
      </c>
      <c r="H168" s="67" t="str">
        <f>IF(N168="","",INDEX(am_who,N168)&amp;"")</f>
        <v/>
      </c>
      <c r="I168" s="68" t="str">
        <f>IF(N168="","",IF(N(INDEX(am_due,N168))&gt;0,INDEX(am_due,N168),""))</f>
        <v/>
      </c>
      <c r="J168" s="65" t="str">
        <f>IF(N168="","",INDEX(am_status,N168)&amp;"")</f>
        <v/>
      </c>
      <c r="K168" s="65" t="str">
        <f>IF(N168="","",INDEX(am_suivi,N168)&amp;"")</f>
        <v/>
      </c>
      <c r="L168" s="65" t="str">
        <f>IF(K168="En retard",p_today-I168,"")</f>
        <v/>
      </c>
      <c r="M168" s="69" t="str">
        <f>IF(N168="","",IF(ISNUMBER(INDEX(am_cost,N168)),INDEX(am_cost,N168),""))</f>
        <v/>
      </c>
      <c r="N168" s="66" t="str">
        <f>IFERROR(MATCH(SMALL(am_plankey,162),am_plankey,0),"")</f>
        <v/>
      </c>
    </row>
    <row r="169" ht="30" customHeight="1">
      <c r="A169" s="65" t="str">
        <f>IF(N169="","",163)</f>
        <v/>
      </c>
      <c r="B169" s="66" t="str">
        <f>IF(N169="","",INDEX(am_num,N169)&amp;"")</f>
        <v/>
      </c>
      <c r="C169" s="67" t="str">
        <f>IF(N169="","",INDEX(am_step,N169)&amp;"")</f>
        <v/>
      </c>
      <c r="D169" s="67" t="str">
        <f>IF(N169="","",INDEX(am_mode,N169)&amp;"")</f>
        <v/>
      </c>
      <c r="E169" s="65" t="str">
        <f>IF(N169="","",INDEX(am_ipr,N169))</f>
        <v/>
      </c>
      <c r="F169" s="65" t="str">
        <f>IF(N169="","",INDEX(am_crit,N169)&amp;"")</f>
        <v/>
      </c>
      <c r="G169" s="67" t="str">
        <f>IF(N169="","",INDEX(am_action,N169)&amp;"")</f>
        <v/>
      </c>
      <c r="H169" s="67" t="str">
        <f>IF(N169="","",INDEX(am_who,N169)&amp;"")</f>
        <v/>
      </c>
      <c r="I169" s="68" t="str">
        <f>IF(N169="","",IF(N(INDEX(am_due,N169))&gt;0,INDEX(am_due,N169),""))</f>
        <v/>
      </c>
      <c r="J169" s="65" t="str">
        <f>IF(N169="","",INDEX(am_status,N169)&amp;"")</f>
        <v/>
      </c>
      <c r="K169" s="65" t="str">
        <f>IF(N169="","",INDEX(am_suivi,N169)&amp;"")</f>
        <v/>
      </c>
      <c r="L169" s="65" t="str">
        <f>IF(K169="En retard",p_today-I169,"")</f>
        <v/>
      </c>
      <c r="M169" s="69" t="str">
        <f>IF(N169="","",IF(ISNUMBER(INDEX(am_cost,N169)),INDEX(am_cost,N169),""))</f>
        <v/>
      </c>
      <c r="N169" s="66" t="str">
        <f>IFERROR(MATCH(SMALL(am_plankey,163),am_plankey,0),"")</f>
        <v/>
      </c>
    </row>
    <row r="170" ht="30" customHeight="1">
      <c r="A170" s="65" t="str">
        <f>IF(N170="","",164)</f>
        <v/>
      </c>
      <c r="B170" s="66" t="str">
        <f>IF(N170="","",INDEX(am_num,N170)&amp;"")</f>
        <v/>
      </c>
      <c r="C170" s="67" t="str">
        <f>IF(N170="","",INDEX(am_step,N170)&amp;"")</f>
        <v/>
      </c>
      <c r="D170" s="67" t="str">
        <f>IF(N170="","",INDEX(am_mode,N170)&amp;"")</f>
        <v/>
      </c>
      <c r="E170" s="65" t="str">
        <f>IF(N170="","",INDEX(am_ipr,N170))</f>
        <v/>
      </c>
      <c r="F170" s="65" t="str">
        <f>IF(N170="","",INDEX(am_crit,N170)&amp;"")</f>
        <v/>
      </c>
      <c r="G170" s="67" t="str">
        <f>IF(N170="","",INDEX(am_action,N170)&amp;"")</f>
        <v/>
      </c>
      <c r="H170" s="67" t="str">
        <f>IF(N170="","",INDEX(am_who,N170)&amp;"")</f>
        <v/>
      </c>
      <c r="I170" s="68" t="str">
        <f>IF(N170="","",IF(N(INDEX(am_due,N170))&gt;0,INDEX(am_due,N170),""))</f>
        <v/>
      </c>
      <c r="J170" s="65" t="str">
        <f>IF(N170="","",INDEX(am_status,N170)&amp;"")</f>
        <v/>
      </c>
      <c r="K170" s="65" t="str">
        <f>IF(N170="","",INDEX(am_suivi,N170)&amp;"")</f>
        <v/>
      </c>
      <c r="L170" s="65" t="str">
        <f>IF(K170="En retard",p_today-I170,"")</f>
        <v/>
      </c>
      <c r="M170" s="69" t="str">
        <f>IF(N170="","",IF(ISNUMBER(INDEX(am_cost,N170)),INDEX(am_cost,N170),""))</f>
        <v/>
      </c>
      <c r="N170" s="66" t="str">
        <f>IFERROR(MATCH(SMALL(am_plankey,164),am_plankey,0),"")</f>
        <v/>
      </c>
    </row>
    <row r="171" ht="30" customHeight="1">
      <c r="A171" s="65" t="str">
        <f>IF(N171="","",165)</f>
        <v/>
      </c>
      <c r="B171" s="66" t="str">
        <f>IF(N171="","",INDEX(am_num,N171)&amp;"")</f>
        <v/>
      </c>
      <c r="C171" s="67" t="str">
        <f>IF(N171="","",INDEX(am_step,N171)&amp;"")</f>
        <v/>
      </c>
      <c r="D171" s="67" t="str">
        <f>IF(N171="","",INDEX(am_mode,N171)&amp;"")</f>
        <v/>
      </c>
      <c r="E171" s="65" t="str">
        <f>IF(N171="","",INDEX(am_ipr,N171))</f>
        <v/>
      </c>
      <c r="F171" s="65" t="str">
        <f>IF(N171="","",INDEX(am_crit,N171)&amp;"")</f>
        <v/>
      </c>
      <c r="G171" s="67" t="str">
        <f>IF(N171="","",INDEX(am_action,N171)&amp;"")</f>
        <v/>
      </c>
      <c r="H171" s="67" t="str">
        <f>IF(N171="","",INDEX(am_who,N171)&amp;"")</f>
        <v/>
      </c>
      <c r="I171" s="68" t="str">
        <f>IF(N171="","",IF(N(INDEX(am_due,N171))&gt;0,INDEX(am_due,N171),""))</f>
        <v/>
      </c>
      <c r="J171" s="65" t="str">
        <f>IF(N171="","",INDEX(am_status,N171)&amp;"")</f>
        <v/>
      </c>
      <c r="K171" s="65" t="str">
        <f>IF(N171="","",INDEX(am_suivi,N171)&amp;"")</f>
        <v/>
      </c>
      <c r="L171" s="65" t="str">
        <f>IF(K171="En retard",p_today-I171,"")</f>
        <v/>
      </c>
      <c r="M171" s="69" t="str">
        <f>IF(N171="","",IF(ISNUMBER(INDEX(am_cost,N171)),INDEX(am_cost,N171),""))</f>
        <v/>
      </c>
      <c r="N171" s="66" t="str">
        <f>IFERROR(MATCH(SMALL(am_plankey,165),am_plankey,0),"")</f>
        <v/>
      </c>
    </row>
    <row r="172" ht="30" customHeight="1">
      <c r="A172" s="65" t="str">
        <f>IF(N172="","",166)</f>
        <v/>
      </c>
      <c r="B172" s="66" t="str">
        <f>IF(N172="","",INDEX(am_num,N172)&amp;"")</f>
        <v/>
      </c>
      <c r="C172" s="67" t="str">
        <f>IF(N172="","",INDEX(am_step,N172)&amp;"")</f>
        <v/>
      </c>
      <c r="D172" s="67" t="str">
        <f>IF(N172="","",INDEX(am_mode,N172)&amp;"")</f>
        <v/>
      </c>
      <c r="E172" s="65" t="str">
        <f>IF(N172="","",INDEX(am_ipr,N172))</f>
        <v/>
      </c>
      <c r="F172" s="65" t="str">
        <f>IF(N172="","",INDEX(am_crit,N172)&amp;"")</f>
        <v/>
      </c>
      <c r="G172" s="67" t="str">
        <f>IF(N172="","",INDEX(am_action,N172)&amp;"")</f>
        <v/>
      </c>
      <c r="H172" s="67" t="str">
        <f>IF(N172="","",INDEX(am_who,N172)&amp;"")</f>
        <v/>
      </c>
      <c r="I172" s="68" t="str">
        <f>IF(N172="","",IF(N(INDEX(am_due,N172))&gt;0,INDEX(am_due,N172),""))</f>
        <v/>
      </c>
      <c r="J172" s="65" t="str">
        <f>IF(N172="","",INDEX(am_status,N172)&amp;"")</f>
        <v/>
      </c>
      <c r="K172" s="65" t="str">
        <f>IF(N172="","",INDEX(am_suivi,N172)&amp;"")</f>
        <v/>
      </c>
      <c r="L172" s="65" t="str">
        <f>IF(K172="En retard",p_today-I172,"")</f>
        <v/>
      </c>
      <c r="M172" s="69" t="str">
        <f>IF(N172="","",IF(ISNUMBER(INDEX(am_cost,N172)),INDEX(am_cost,N172),""))</f>
        <v/>
      </c>
      <c r="N172" s="66" t="str">
        <f>IFERROR(MATCH(SMALL(am_plankey,166),am_plankey,0),"")</f>
        <v/>
      </c>
    </row>
    <row r="173" ht="30" customHeight="1">
      <c r="A173" s="65" t="str">
        <f>IF(N173="","",167)</f>
        <v/>
      </c>
      <c r="B173" s="66" t="str">
        <f>IF(N173="","",INDEX(am_num,N173)&amp;"")</f>
        <v/>
      </c>
      <c r="C173" s="67" t="str">
        <f>IF(N173="","",INDEX(am_step,N173)&amp;"")</f>
        <v/>
      </c>
      <c r="D173" s="67" t="str">
        <f>IF(N173="","",INDEX(am_mode,N173)&amp;"")</f>
        <v/>
      </c>
      <c r="E173" s="65" t="str">
        <f>IF(N173="","",INDEX(am_ipr,N173))</f>
        <v/>
      </c>
      <c r="F173" s="65" t="str">
        <f>IF(N173="","",INDEX(am_crit,N173)&amp;"")</f>
        <v/>
      </c>
      <c r="G173" s="67" t="str">
        <f>IF(N173="","",INDEX(am_action,N173)&amp;"")</f>
        <v/>
      </c>
      <c r="H173" s="67" t="str">
        <f>IF(N173="","",INDEX(am_who,N173)&amp;"")</f>
        <v/>
      </c>
      <c r="I173" s="68" t="str">
        <f>IF(N173="","",IF(N(INDEX(am_due,N173))&gt;0,INDEX(am_due,N173),""))</f>
        <v/>
      </c>
      <c r="J173" s="65" t="str">
        <f>IF(N173="","",INDEX(am_status,N173)&amp;"")</f>
        <v/>
      </c>
      <c r="K173" s="65" t="str">
        <f>IF(N173="","",INDEX(am_suivi,N173)&amp;"")</f>
        <v/>
      </c>
      <c r="L173" s="65" t="str">
        <f>IF(K173="En retard",p_today-I173,"")</f>
        <v/>
      </c>
      <c r="M173" s="69" t="str">
        <f>IF(N173="","",IF(ISNUMBER(INDEX(am_cost,N173)),INDEX(am_cost,N173),""))</f>
        <v/>
      </c>
      <c r="N173" s="66" t="str">
        <f>IFERROR(MATCH(SMALL(am_plankey,167),am_plankey,0),"")</f>
        <v/>
      </c>
    </row>
    <row r="174" ht="30" customHeight="1">
      <c r="A174" s="65" t="str">
        <f>IF(N174="","",168)</f>
        <v/>
      </c>
      <c r="B174" s="66" t="str">
        <f>IF(N174="","",INDEX(am_num,N174)&amp;"")</f>
        <v/>
      </c>
      <c r="C174" s="67" t="str">
        <f>IF(N174="","",INDEX(am_step,N174)&amp;"")</f>
        <v/>
      </c>
      <c r="D174" s="67" t="str">
        <f>IF(N174="","",INDEX(am_mode,N174)&amp;"")</f>
        <v/>
      </c>
      <c r="E174" s="65" t="str">
        <f>IF(N174="","",INDEX(am_ipr,N174))</f>
        <v/>
      </c>
      <c r="F174" s="65" t="str">
        <f>IF(N174="","",INDEX(am_crit,N174)&amp;"")</f>
        <v/>
      </c>
      <c r="G174" s="67" t="str">
        <f>IF(N174="","",INDEX(am_action,N174)&amp;"")</f>
        <v/>
      </c>
      <c r="H174" s="67" t="str">
        <f>IF(N174="","",INDEX(am_who,N174)&amp;"")</f>
        <v/>
      </c>
      <c r="I174" s="68" t="str">
        <f>IF(N174="","",IF(N(INDEX(am_due,N174))&gt;0,INDEX(am_due,N174),""))</f>
        <v/>
      </c>
      <c r="J174" s="65" t="str">
        <f>IF(N174="","",INDEX(am_status,N174)&amp;"")</f>
        <v/>
      </c>
      <c r="K174" s="65" t="str">
        <f>IF(N174="","",INDEX(am_suivi,N174)&amp;"")</f>
        <v/>
      </c>
      <c r="L174" s="65" t="str">
        <f>IF(K174="En retard",p_today-I174,"")</f>
        <v/>
      </c>
      <c r="M174" s="69" t="str">
        <f>IF(N174="","",IF(ISNUMBER(INDEX(am_cost,N174)),INDEX(am_cost,N174),""))</f>
        <v/>
      </c>
      <c r="N174" s="66" t="str">
        <f>IFERROR(MATCH(SMALL(am_plankey,168),am_plankey,0),"")</f>
        <v/>
      </c>
    </row>
    <row r="175" ht="30" customHeight="1">
      <c r="A175" s="65" t="str">
        <f>IF(N175="","",169)</f>
        <v/>
      </c>
      <c r="B175" s="66" t="str">
        <f>IF(N175="","",INDEX(am_num,N175)&amp;"")</f>
        <v/>
      </c>
      <c r="C175" s="67" t="str">
        <f>IF(N175="","",INDEX(am_step,N175)&amp;"")</f>
        <v/>
      </c>
      <c r="D175" s="67" t="str">
        <f>IF(N175="","",INDEX(am_mode,N175)&amp;"")</f>
        <v/>
      </c>
      <c r="E175" s="65" t="str">
        <f>IF(N175="","",INDEX(am_ipr,N175))</f>
        <v/>
      </c>
      <c r="F175" s="65" t="str">
        <f>IF(N175="","",INDEX(am_crit,N175)&amp;"")</f>
        <v/>
      </c>
      <c r="G175" s="67" t="str">
        <f>IF(N175="","",INDEX(am_action,N175)&amp;"")</f>
        <v/>
      </c>
      <c r="H175" s="67" t="str">
        <f>IF(N175="","",INDEX(am_who,N175)&amp;"")</f>
        <v/>
      </c>
      <c r="I175" s="68" t="str">
        <f>IF(N175="","",IF(N(INDEX(am_due,N175))&gt;0,INDEX(am_due,N175),""))</f>
        <v/>
      </c>
      <c r="J175" s="65" t="str">
        <f>IF(N175="","",INDEX(am_status,N175)&amp;"")</f>
        <v/>
      </c>
      <c r="K175" s="65" t="str">
        <f>IF(N175="","",INDEX(am_suivi,N175)&amp;"")</f>
        <v/>
      </c>
      <c r="L175" s="65" t="str">
        <f>IF(K175="En retard",p_today-I175,"")</f>
        <v/>
      </c>
      <c r="M175" s="69" t="str">
        <f>IF(N175="","",IF(ISNUMBER(INDEX(am_cost,N175)),INDEX(am_cost,N175),""))</f>
        <v/>
      </c>
      <c r="N175" s="66" t="str">
        <f>IFERROR(MATCH(SMALL(am_plankey,169),am_plankey,0),"")</f>
        <v/>
      </c>
    </row>
    <row r="176" ht="30" customHeight="1">
      <c r="A176" s="65" t="str">
        <f>IF(N176="","",170)</f>
        <v/>
      </c>
      <c r="B176" s="66" t="str">
        <f>IF(N176="","",INDEX(am_num,N176)&amp;"")</f>
        <v/>
      </c>
      <c r="C176" s="67" t="str">
        <f>IF(N176="","",INDEX(am_step,N176)&amp;"")</f>
        <v/>
      </c>
      <c r="D176" s="67" t="str">
        <f>IF(N176="","",INDEX(am_mode,N176)&amp;"")</f>
        <v/>
      </c>
      <c r="E176" s="65" t="str">
        <f>IF(N176="","",INDEX(am_ipr,N176))</f>
        <v/>
      </c>
      <c r="F176" s="65" t="str">
        <f>IF(N176="","",INDEX(am_crit,N176)&amp;"")</f>
        <v/>
      </c>
      <c r="G176" s="67" t="str">
        <f>IF(N176="","",INDEX(am_action,N176)&amp;"")</f>
        <v/>
      </c>
      <c r="H176" s="67" t="str">
        <f>IF(N176="","",INDEX(am_who,N176)&amp;"")</f>
        <v/>
      </c>
      <c r="I176" s="68" t="str">
        <f>IF(N176="","",IF(N(INDEX(am_due,N176))&gt;0,INDEX(am_due,N176),""))</f>
        <v/>
      </c>
      <c r="J176" s="65" t="str">
        <f>IF(N176="","",INDEX(am_status,N176)&amp;"")</f>
        <v/>
      </c>
      <c r="K176" s="65" t="str">
        <f>IF(N176="","",INDEX(am_suivi,N176)&amp;"")</f>
        <v/>
      </c>
      <c r="L176" s="65" t="str">
        <f>IF(K176="En retard",p_today-I176,"")</f>
        <v/>
      </c>
      <c r="M176" s="69" t="str">
        <f>IF(N176="","",IF(ISNUMBER(INDEX(am_cost,N176)),INDEX(am_cost,N176),""))</f>
        <v/>
      </c>
      <c r="N176" s="66" t="str">
        <f>IFERROR(MATCH(SMALL(am_plankey,170),am_plankey,0),"")</f>
        <v/>
      </c>
    </row>
    <row r="177" ht="30" customHeight="1">
      <c r="A177" s="65" t="str">
        <f>IF(N177="","",171)</f>
        <v/>
      </c>
      <c r="B177" s="66" t="str">
        <f>IF(N177="","",INDEX(am_num,N177)&amp;"")</f>
        <v/>
      </c>
      <c r="C177" s="67" t="str">
        <f>IF(N177="","",INDEX(am_step,N177)&amp;"")</f>
        <v/>
      </c>
      <c r="D177" s="67" t="str">
        <f>IF(N177="","",INDEX(am_mode,N177)&amp;"")</f>
        <v/>
      </c>
      <c r="E177" s="65" t="str">
        <f>IF(N177="","",INDEX(am_ipr,N177))</f>
        <v/>
      </c>
      <c r="F177" s="65" t="str">
        <f>IF(N177="","",INDEX(am_crit,N177)&amp;"")</f>
        <v/>
      </c>
      <c r="G177" s="67" t="str">
        <f>IF(N177="","",INDEX(am_action,N177)&amp;"")</f>
        <v/>
      </c>
      <c r="H177" s="67" t="str">
        <f>IF(N177="","",INDEX(am_who,N177)&amp;"")</f>
        <v/>
      </c>
      <c r="I177" s="68" t="str">
        <f>IF(N177="","",IF(N(INDEX(am_due,N177))&gt;0,INDEX(am_due,N177),""))</f>
        <v/>
      </c>
      <c r="J177" s="65" t="str">
        <f>IF(N177="","",INDEX(am_status,N177)&amp;"")</f>
        <v/>
      </c>
      <c r="K177" s="65" t="str">
        <f>IF(N177="","",INDEX(am_suivi,N177)&amp;"")</f>
        <v/>
      </c>
      <c r="L177" s="65" t="str">
        <f>IF(K177="En retard",p_today-I177,"")</f>
        <v/>
      </c>
      <c r="M177" s="69" t="str">
        <f>IF(N177="","",IF(ISNUMBER(INDEX(am_cost,N177)),INDEX(am_cost,N177),""))</f>
        <v/>
      </c>
      <c r="N177" s="66" t="str">
        <f>IFERROR(MATCH(SMALL(am_plankey,171),am_plankey,0),"")</f>
        <v/>
      </c>
    </row>
    <row r="178" ht="30" customHeight="1">
      <c r="A178" s="65" t="str">
        <f>IF(N178="","",172)</f>
        <v/>
      </c>
      <c r="B178" s="66" t="str">
        <f>IF(N178="","",INDEX(am_num,N178)&amp;"")</f>
        <v/>
      </c>
      <c r="C178" s="67" t="str">
        <f>IF(N178="","",INDEX(am_step,N178)&amp;"")</f>
        <v/>
      </c>
      <c r="D178" s="67" t="str">
        <f>IF(N178="","",INDEX(am_mode,N178)&amp;"")</f>
        <v/>
      </c>
      <c r="E178" s="65" t="str">
        <f>IF(N178="","",INDEX(am_ipr,N178))</f>
        <v/>
      </c>
      <c r="F178" s="65" t="str">
        <f>IF(N178="","",INDEX(am_crit,N178)&amp;"")</f>
        <v/>
      </c>
      <c r="G178" s="67" t="str">
        <f>IF(N178="","",INDEX(am_action,N178)&amp;"")</f>
        <v/>
      </c>
      <c r="H178" s="67" t="str">
        <f>IF(N178="","",INDEX(am_who,N178)&amp;"")</f>
        <v/>
      </c>
      <c r="I178" s="68" t="str">
        <f>IF(N178="","",IF(N(INDEX(am_due,N178))&gt;0,INDEX(am_due,N178),""))</f>
        <v/>
      </c>
      <c r="J178" s="65" t="str">
        <f>IF(N178="","",INDEX(am_status,N178)&amp;"")</f>
        <v/>
      </c>
      <c r="K178" s="65" t="str">
        <f>IF(N178="","",INDEX(am_suivi,N178)&amp;"")</f>
        <v/>
      </c>
      <c r="L178" s="65" t="str">
        <f>IF(K178="En retard",p_today-I178,"")</f>
        <v/>
      </c>
      <c r="M178" s="69" t="str">
        <f>IF(N178="","",IF(ISNUMBER(INDEX(am_cost,N178)),INDEX(am_cost,N178),""))</f>
        <v/>
      </c>
      <c r="N178" s="66" t="str">
        <f>IFERROR(MATCH(SMALL(am_plankey,172),am_plankey,0),"")</f>
        <v/>
      </c>
    </row>
    <row r="179" ht="30" customHeight="1">
      <c r="A179" s="65" t="str">
        <f>IF(N179="","",173)</f>
        <v/>
      </c>
      <c r="B179" s="66" t="str">
        <f>IF(N179="","",INDEX(am_num,N179)&amp;"")</f>
        <v/>
      </c>
      <c r="C179" s="67" t="str">
        <f>IF(N179="","",INDEX(am_step,N179)&amp;"")</f>
        <v/>
      </c>
      <c r="D179" s="67" t="str">
        <f>IF(N179="","",INDEX(am_mode,N179)&amp;"")</f>
        <v/>
      </c>
      <c r="E179" s="65" t="str">
        <f>IF(N179="","",INDEX(am_ipr,N179))</f>
        <v/>
      </c>
      <c r="F179" s="65" t="str">
        <f>IF(N179="","",INDEX(am_crit,N179)&amp;"")</f>
        <v/>
      </c>
      <c r="G179" s="67" t="str">
        <f>IF(N179="","",INDEX(am_action,N179)&amp;"")</f>
        <v/>
      </c>
      <c r="H179" s="67" t="str">
        <f>IF(N179="","",INDEX(am_who,N179)&amp;"")</f>
        <v/>
      </c>
      <c r="I179" s="68" t="str">
        <f>IF(N179="","",IF(N(INDEX(am_due,N179))&gt;0,INDEX(am_due,N179),""))</f>
        <v/>
      </c>
      <c r="J179" s="65" t="str">
        <f>IF(N179="","",INDEX(am_status,N179)&amp;"")</f>
        <v/>
      </c>
      <c r="K179" s="65" t="str">
        <f>IF(N179="","",INDEX(am_suivi,N179)&amp;"")</f>
        <v/>
      </c>
      <c r="L179" s="65" t="str">
        <f>IF(K179="En retard",p_today-I179,"")</f>
        <v/>
      </c>
      <c r="M179" s="69" t="str">
        <f>IF(N179="","",IF(ISNUMBER(INDEX(am_cost,N179)),INDEX(am_cost,N179),""))</f>
        <v/>
      </c>
      <c r="N179" s="66" t="str">
        <f>IFERROR(MATCH(SMALL(am_plankey,173),am_plankey,0),"")</f>
        <v/>
      </c>
    </row>
    <row r="180" ht="30" customHeight="1">
      <c r="A180" s="65" t="str">
        <f>IF(N180="","",174)</f>
        <v/>
      </c>
      <c r="B180" s="66" t="str">
        <f>IF(N180="","",INDEX(am_num,N180)&amp;"")</f>
        <v/>
      </c>
      <c r="C180" s="67" t="str">
        <f>IF(N180="","",INDEX(am_step,N180)&amp;"")</f>
        <v/>
      </c>
      <c r="D180" s="67" t="str">
        <f>IF(N180="","",INDEX(am_mode,N180)&amp;"")</f>
        <v/>
      </c>
      <c r="E180" s="65" t="str">
        <f>IF(N180="","",INDEX(am_ipr,N180))</f>
        <v/>
      </c>
      <c r="F180" s="65" t="str">
        <f>IF(N180="","",INDEX(am_crit,N180)&amp;"")</f>
        <v/>
      </c>
      <c r="G180" s="67" t="str">
        <f>IF(N180="","",INDEX(am_action,N180)&amp;"")</f>
        <v/>
      </c>
      <c r="H180" s="67" t="str">
        <f>IF(N180="","",INDEX(am_who,N180)&amp;"")</f>
        <v/>
      </c>
      <c r="I180" s="68" t="str">
        <f>IF(N180="","",IF(N(INDEX(am_due,N180))&gt;0,INDEX(am_due,N180),""))</f>
        <v/>
      </c>
      <c r="J180" s="65" t="str">
        <f>IF(N180="","",INDEX(am_status,N180)&amp;"")</f>
        <v/>
      </c>
      <c r="K180" s="65" t="str">
        <f>IF(N180="","",INDEX(am_suivi,N180)&amp;"")</f>
        <v/>
      </c>
      <c r="L180" s="65" t="str">
        <f>IF(K180="En retard",p_today-I180,"")</f>
        <v/>
      </c>
      <c r="M180" s="69" t="str">
        <f>IF(N180="","",IF(ISNUMBER(INDEX(am_cost,N180)),INDEX(am_cost,N180),""))</f>
        <v/>
      </c>
      <c r="N180" s="66" t="str">
        <f>IFERROR(MATCH(SMALL(am_plankey,174),am_plankey,0),"")</f>
        <v/>
      </c>
    </row>
    <row r="181" ht="30" customHeight="1">
      <c r="A181" s="65" t="str">
        <f>IF(N181="","",175)</f>
        <v/>
      </c>
      <c r="B181" s="66" t="str">
        <f>IF(N181="","",INDEX(am_num,N181)&amp;"")</f>
        <v/>
      </c>
      <c r="C181" s="67" t="str">
        <f>IF(N181="","",INDEX(am_step,N181)&amp;"")</f>
        <v/>
      </c>
      <c r="D181" s="67" t="str">
        <f>IF(N181="","",INDEX(am_mode,N181)&amp;"")</f>
        <v/>
      </c>
      <c r="E181" s="65" t="str">
        <f>IF(N181="","",INDEX(am_ipr,N181))</f>
        <v/>
      </c>
      <c r="F181" s="65" t="str">
        <f>IF(N181="","",INDEX(am_crit,N181)&amp;"")</f>
        <v/>
      </c>
      <c r="G181" s="67" t="str">
        <f>IF(N181="","",INDEX(am_action,N181)&amp;"")</f>
        <v/>
      </c>
      <c r="H181" s="67" t="str">
        <f>IF(N181="","",INDEX(am_who,N181)&amp;"")</f>
        <v/>
      </c>
      <c r="I181" s="68" t="str">
        <f>IF(N181="","",IF(N(INDEX(am_due,N181))&gt;0,INDEX(am_due,N181),""))</f>
        <v/>
      </c>
      <c r="J181" s="65" t="str">
        <f>IF(N181="","",INDEX(am_status,N181)&amp;"")</f>
        <v/>
      </c>
      <c r="K181" s="65" t="str">
        <f>IF(N181="","",INDEX(am_suivi,N181)&amp;"")</f>
        <v/>
      </c>
      <c r="L181" s="65" t="str">
        <f>IF(K181="En retard",p_today-I181,"")</f>
        <v/>
      </c>
      <c r="M181" s="69" t="str">
        <f>IF(N181="","",IF(ISNUMBER(INDEX(am_cost,N181)),INDEX(am_cost,N181),""))</f>
        <v/>
      </c>
      <c r="N181" s="66" t="str">
        <f>IFERROR(MATCH(SMALL(am_plankey,175),am_plankey,0),"")</f>
        <v/>
      </c>
    </row>
    <row r="182" ht="30" customHeight="1">
      <c r="A182" s="65" t="str">
        <f>IF(N182="","",176)</f>
        <v/>
      </c>
      <c r="B182" s="66" t="str">
        <f>IF(N182="","",INDEX(am_num,N182)&amp;"")</f>
        <v/>
      </c>
      <c r="C182" s="67" t="str">
        <f>IF(N182="","",INDEX(am_step,N182)&amp;"")</f>
        <v/>
      </c>
      <c r="D182" s="67" t="str">
        <f>IF(N182="","",INDEX(am_mode,N182)&amp;"")</f>
        <v/>
      </c>
      <c r="E182" s="65" t="str">
        <f>IF(N182="","",INDEX(am_ipr,N182))</f>
        <v/>
      </c>
      <c r="F182" s="65" t="str">
        <f>IF(N182="","",INDEX(am_crit,N182)&amp;"")</f>
        <v/>
      </c>
      <c r="G182" s="67" t="str">
        <f>IF(N182="","",INDEX(am_action,N182)&amp;"")</f>
        <v/>
      </c>
      <c r="H182" s="67" t="str">
        <f>IF(N182="","",INDEX(am_who,N182)&amp;"")</f>
        <v/>
      </c>
      <c r="I182" s="68" t="str">
        <f>IF(N182="","",IF(N(INDEX(am_due,N182))&gt;0,INDEX(am_due,N182),""))</f>
        <v/>
      </c>
      <c r="J182" s="65" t="str">
        <f>IF(N182="","",INDEX(am_status,N182)&amp;"")</f>
        <v/>
      </c>
      <c r="K182" s="65" t="str">
        <f>IF(N182="","",INDEX(am_suivi,N182)&amp;"")</f>
        <v/>
      </c>
      <c r="L182" s="65" t="str">
        <f>IF(K182="En retard",p_today-I182,"")</f>
        <v/>
      </c>
      <c r="M182" s="69" t="str">
        <f>IF(N182="","",IF(ISNUMBER(INDEX(am_cost,N182)),INDEX(am_cost,N182),""))</f>
        <v/>
      </c>
      <c r="N182" s="66" t="str">
        <f>IFERROR(MATCH(SMALL(am_plankey,176),am_plankey,0),"")</f>
        <v/>
      </c>
    </row>
    <row r="183" ht="30" customHeight="1">
      <c r="A183" s="65" t="str">
        <f>IF(N183="","",177)</f>
        <v/>
      </c>
      <c r="B183" s="66" t="str">
        <f>IF(N183="","",INDEX(am_num,N183)&amp;"")</f>
        <v/>
      </c>
      <c r="C183" s="67" t="str">
        <f>IF(N183="","",INDEX(am_step,N183)&amp;"")</f>
        <v/>
      </c>
      <c r="D183" s="67" t="str">
        <f>IF(N183="","",INDEX(am_mode,N183)&amp;"")</f>
        <v/>
      </c>
      <c r="E183" s="65" t="str">
        <f>IF(N183="","",INDEX(am_ipr,N183))</f>
        <v/>
      </c>
      <c r="F183" s="65" t="str">
        <f>IF(N183="","",INDEX(am_crit,N183)&amp;"")</f>
        <v/>
      </c>
      <c r="G183" s="67" t="str">
        <f>IF(N183="","",INDEX(am_action,N183)&amp;"")</f>
        <v/>
      </c>
      <c r="H183" s="67" t="str">
        <f>IF(N183="","",INDEX(am_who,N183)&amp;"")</f>
        <v/>
      </c>
      <c r="I183" s="68" t="str">
        <f>IF(N183="","",IF(N(INDEX(am_due,N183))&gt;0,INDEX(am_due,N183),""))</f>
        <v/>
      </c>
      <c r="J183" s="65" t="str">
        <f>IF(N183="","",INDEX(am_status,N183)&amp;"")</f>
        <v/>
      </c>
      <c r="K183" s="65" t="str">
        <f>IF(N183="","",INDEX(am_suivi,N183)&amp;"")</f>
        <v/>
      </c>
      <c r="L183" s="65" t="str">
        <f>IF(K183="En retard",p_today-I183,"")</f>
        <v/>
      </c>
      <c r="M183" s="69" t="str">
        <f>IF(N183="","",IF(ISNUMBER(INDEX(am_cost,N183)),INDEX(am_cost,N183),""))</f>
        <v/>
      </c>
      <c r="N183" s="66" t="str">
        <f>IFERROR(MATCH(SMALL(am_plankey,177),am_plankey,0),"")</f>
        <v/>
      </c>
    </row>
    <row r="184" ht="30" customHeight="1">
      <c r="A184" s="65" t="str">
        <f>IF(N184="","",178)</f>
        <v/>
      </c>
      <c r="B184" s="66" t="str">
        <f>IF(N184="","",INDEX(am_num,N184)&amp;"")</f>
        <v/>
      </c>
      <c r="C184" s="67" t="str">
        <f>IF(N184="","",INDEX(am_step,N184)&amp;"")</f>
        <v/>
      </c>
      <c r="D184" s="67" t="str">
        <f>IF(N184="","",INDEX(am_mode,N184)&amp;"")</f>
        <v/>
      </c>
      <c r="E184" s="65" t="str">
        <f>IF(N184="","",INDEX(am_ipr,N184))</f>
        <v/>
      </c>
      <c r="F184" s="65" t="str">
        <f>IF(N184="","",INDEX(am_crit,N184)&amp;"")</f>
        <v/>
      </c>
      <c r="G184" s="67" t="str">
        <f>IF(N184="","",INDEX(am_action,N184)&amp;"")</f>
        <v/>
      </c>
      <c r="H184" s="67" t="str">
        <f>IF(N184="","",INDEX(am_who,N184)&amp;"")</f>
        <v/>
      </c>
      <c r="I184" s="68" t="str">
        <f>IF(N184="","",IF(N(INDEX(am_due,N184))&gt;0,INDEX(am_due,N184),""))</f>
        <v/>
      </c>
      <c r="J184" s="65" t="str">
        <f>IF(N184="","",INDEX(am_status,N184)&amp;"")</f>
        <v/>
      </c>
      <c r="K184" s="65" t="str">
        <f>IF(N184="","",INDEX(am_suivi,N184)&amp;"")</f>
        <v/>
      </c>
      <c r="L184" s="65" t="str">
        <f>IF(K184="En retard",p_today-I184,"")</f>
        <v/>
      </c>
      <c r="M184" s="69" t="str">
        <f>IF(N184="","",IF(ISNUMBER(INDEX(am_cost,N184)),INDEX(am_cost,N184),""))</f>
        <v/>
      </c>
      <c r="N184" s="66" t="str">
        <f>IFERROR(MATCH(SMALL(am_plankey,178),am_plankey,0),"")</f>
        <v/>
      </c>
    </row>
    <row r="185" ht="30" customHeight="1">
      <c r="A185" s="65" t="str">
        <f>IF(N185="","",179)</f>
        <v/>
      </c>
      <c r="B185" s="66" t="str">
        <f>IF(N185="","",INDEX(am_num,N185)&amp;"")</f>
        <v/>
      </c>
      <c r="C185" s="67" t="str">
        <f>IF(N185="","",INDEX(am_step,N185)&amp;"")</f>
        <v/>
      </c>
      <c r="D185" s="67" t="str">
        <f>IF(N185="","",INDEX(am_mode,N185)&amp;"")</f>
        <v/>
      </c>
      <c r="E185" s="65" t="str">
        <f>IF(N185="","",INDEX(am_ipr,N185))</f>
        <v/>
      </c>
      <c r="F185" s="65" t="str">
        <f>IF(N185="","",INDEX(am_crit,N185)&amp;"")</f>
        <v/>
      </c>
      <c r="G185" s="67" t="str">
        <f>IF(N185="","",INDEX(am_action,N185)&amp;"")</f>
        <v/>
      </c>
      <c r="H185" s="67" t="str">
        <f>IF(N185="","",INDEX(am_who,N185)&amp;"")</f>
        <v/>
      </c>
      <c r="I185" s="68" t="str">
        <f>IF(N185="","",IF(N(INDEX(am_due,N185))&gt;0,INDEX(am_due,N185),""))</f>
        <v/>
      </c>
      <c r="J185" s="65" t="str">
        <f>IF(N185="","",INDEX(am_status,N185)&amp;"")</f>
        <v/>
      </c>
      <c r="K185" s="65" t="str">
        <f>IF(N185="","",INDEX(am_suivi,N185)&amp;"")</f>
        <v/>
      </c>
      <c r="L185" s="65" t="str">
        <f>IF(K185="En retard",p_today-I185,"")</f>
        <v/>
      </c>
      <c r="M185" s="69" t="str">
        <f>IF(N185="","",IF(ISNUMBER(INDEX(am_cost,N185)),INDEX(am_cost,N185),""))</f>
        <v/>
      </c>
      <c r="N185" s="66" t="str">
        <f>IFERROR(MATCH(SMALL(am_plankey,179),am_plankey,0),"")</f>
        <v/>
      </c>
    </row>
    <row r="186" ht="30" customHeight="1">
      <c r="A186" s="65" t="str">
        <f>IF(N186="","",180)</f>
        <v/>
      </c>
      <c r="B186" s="66" t="str">
        <f>IF(N186="","",INDEX(am_num,N186)&amp;"")</f>
        <v/>
      </c>
      <c r="C186" s="67" t="str">
        <f>IF(N186="","",INDEX(am_step,N186)&amp;"")</f>
        <v/>
      </c>
      <c r="D186" s="67" t="str">
        <f>IF(N186="","",INDEX(am_mode,N186)&amp;"")</f>
        <v/>
      </c>
      <c r="E186" s="65" t="str">
        <f>IF(N186="","",INDEX(am_ipr,N186))</f>
        <v/>
      </c>
      <c r="F186" s="65" t="str">
        <f>IF(N186="","",INDEX(am_crit,N186)&amp;"")</f>
        <v/>
      </c>
      <c r="G186" s="67" t="str">
        <f>IF(N186="","",INDEX(am_action,N186)&amp;"")</f>
        <v/>
      </c>
      <c r="H186" s="67" t="str">
        <f>IF(N186="","",INDEX(am_who,N186)&amp;"")</f>
        <v/>
      </c>
      <c r="I186" s="68" t="str">
        <f>IF(N186="","",IF(N(INDEX(am_due,N186))&gt;0,INDEX(am_due,N186),""))</f>
        <v/>
      </c>
      <c r="J186" s="65" t="str">
        <f>IF(N186="","",INDEX(am_status,N186)&amp;"")</f>
        <v/>
      </c>
      <c r="K186" s="65" t="str">
        <f>IF(N186="","",INDEX(am_suivi,N186)&amp;"")</f>
        <v/>
      </c>
      <c r="L186" s="65" t="str">
        <f>IF(K186="En retard",p_today-I186,"")</f>
        <v/>
      </c>
      <c r="M186" s="69" t="str">
        <f>IF(N186="","",IF(ISNUMBER(INDEX(am_cost,N186)),INDEX(am_cost,N186),""))</f>
        <v/>
      </c>
      <c r="N186" s="66" t="str">
        <f>IFERROR(MATCH(SMALL(am_plankey,180),am_plankey,0),"")</f>
        <v/>
      </c>
    </row>
    <row r="187" ht="30" customHeight="1">
      <c r="A187" s="65" t="str">
        <f>IF(N187="","",181)</f>
        <v/>
      </c>
      <c r="B187" s="66" t="str">
        <f>IF(N187="","",INDEX(am_num,N187)&amp;"")</f>
        <v/>
      </c>
      <c r="C187" s="67" t="str">
        <f>IF(N187="","",INDEX(am_step,N187)&amp;"")</f>
        <v/>
      </c>
      <c r="D187" s="67" t="str">
        <f>IF(N187="","",INDEX(am_mode,N187)&amp;"")</f>
        <v/>
      </c>
      <c r="E187" s="65" t="str">
        <f>IF(N187="","",INDEX(am_ipr,N187))</f>
        <v/>
      </c>
      <c r="F187" s="65" t="str">
        <f>IF(N187="","",INDEX(am_crit,N187)&amp;"")</f>
        <v/>
      </c>
      <c r="G187" s="67" t="str">
        <f>IF(N187="","",INDEX(am_action,N187)&amp;"")</f>
        <v/>
      </c>
      <c r="H187" s="67" t="str">
        <f>IF(N187="","",INDEX(am_who,N187)&amp;"")</f>
        <v/>
      </c>
      <c r="I187" s="68" t="str">
        <f>IF(N187="","",IF(N(INDEX(am_due,N187))&gt;0,INDEX(am_due,N187),""))</f>
        <v/>
      </c>
      <c r="J187" s="65" t="str">
        <f>IF(N187="","",INDEX(am_status,N187)&amp;"")</f>
        <v/>
      </c>
      <c r="K187" s="65" t="str">
        <f>IF(N187="","",INDEX(am_suivi,N187)&amp;"")</f>
        <v/>
      </c>
      <c r="L187" s="65" t="str">
        <f>IF(K187="En retard",p_today-I187,"")</f>
        <v/>
      </c>
      <c r="M187" s="69" t="str">
        <f>IF(N187="","",IF(ISNUMBER(INDEX(am_cost,N187)),INDEX(am_cost,N187),""))</f>
        <v/>
      </c>
      <c r="N187" s="66" t="str">
        <f>IFERROR(MATCH(SMALL(am_plankey,181),am_plankey,0),"")</f>
        <v/>
      </c>
    </row>
    <row r="188" ht="30" customHeight="1">
      <c r="A188" s="65" t="str">
        <f>IF(N188="","",182)</f>
        <v/>
      </c>
      <c r="B188" s="66" t="str">
        <f>IF(N188="","",INDEX(am_num,N188)&amp;"")</f>
        <v/>
      </c>
      <c r="C188" s="67" t="str">
        <f>IF(N188="","",INDEX(am_step,N188)&amp;"")</f>
        <v/>
      </c>
      <c r="D188" s="67" t="str">
        <f>IF(N188="","",INDEX(am_mode,N188)&amp;"")</f>
        <v/>
      </c>
      <c r="E188" s="65" t="str">
        <f>IF(N188="","",INDEX(am_ipr,N188))</f>
        <v/>
      </c>
      <c r="F188" s="65" t="str">
        <f>IF(N188="","",INDEX(am_crit,N188)&amp;"")</f>
        <v/>
      </c>
      <c r="G188" s="67" t="str">
        <f>IF(N188="","",INDEX(am_action,N188)&amp;"")</f>
        <v/>
      </c>
      <c r="H188" s="67" t="str">
        <f>IF(N188="","",INDEX(am_who,N188)&amp;"")</f>
        <v/>
      </c>
      <c r="I188" s="68" t="str">
        <f>IF(N188="","",IF(N(INDEX(am_due,N188))&gt;0,INDEX(am_due,N188),""))</f>
        <v/>
      </c>
      <c r="J188" s="65" t="str">
        <f>IF(N188="","",INDEX(am_status,N188)&amp;"")</f>
        <v/>
      </c>
      <c r="K188" s="65" t="str">
        <f>IF(N188="","",INDEX(am_suivi,N188)&amp;"")</f>
        <v/>
      </c>
      <c r="L188" s="65" t="str">
        <f>IF(K188="En retard",p_today-I188,"")</f>
        <v/>
      </c>
      <c r="M188" s="69" t="str">
        <f>IF(N188="","",IF(ISNUMBER(INDEX(am_cost,N188)),INDEX(am_cost,N188),""))</f>
        <v/>
      </c>
      <c r="N188" s="66" t="str">
        <f>IFERROR(MATCH(SMALL(am_plankey,182),am_plankey,0),"")</f>
        <v/>
      </c>
    </row>
    <row r="189" ht="30" customHeight="1">
      <c r="A189" s="65" t="str">
        <f>IF(N189="","",183)</f>
        <v/>
      </c>
      <c r="B189" s="66" t="str">
        <f>IF(N189="","",INDEX(am_num,N189)&amp;"")</f>
        <v/>
      </c>
      <c r="C189" s="67" t="str">
        <f>IF(N189="","",INDEX(am_step,N189)&amp;"")</f>
        <v/>
      </c>
      <c r="D189" s="67" t="str">
        <f>IF(N189="","",INDEX(am_mode,N189)&amp;"")</f>
        <v/>
      </c>
      <c r="E189" s="65" t="str">
        <f>IF(N189="","",INDEX(am_ipr,N189))</f>
        <v/>
      </c>
      <c r="F189" s="65" t="str">
        <f>IF(N189="","",INDEX(am_crit,N189)&amp;"")</f>
        <v/>
      </c>
      <c r="G189" s="67" t="str">
        <f>IF(N189="","",INDEX(am_action,N189)&amp;"")</f>
        <v/>
      </c>
      <c r="H189" s="67" t="str">
        <f>IF(N189="","",INDEX(am_who,N189)&amp;"")</f>
        <v/>
      </c>
      <c r="I189" s="68" t="str">
        <f>IF(N189="","",IF(N(INDEX(am_due,N189))&gt;0,INDEX(am_due,N189),""))</f>
        <v/>
      </c>
      <c r="J189" s="65" t="str">
        <f>IF(N189="","",INDEX(am_status,N189)&amp;"")</f>
        <v/>
      </c>
      <c r="K189" s="65" t="str">
        <f>IF(N189="","",INDEX(am_suivi,N189)&amp;"")</f>
        <v/>
      </c>
      <c r="L189" s="65" t="str">
        <f>IF(K189="En retard",p_today-I189,"")</f>
        <v/>
      </c>
      <c r="M189" s="69" t="str">
        <f>IF(N189="","",IF(ISNUMBER(INDEX(am_cost,N189)),INDEX(am_cost,N189),""))</f>
        <v/>
      </c>
      <c r="N189" s="66" t="str">
        <f>IFERROR(MATCH(SMALL(am_plankey,183),am_plankey,0),"")</f>
        <v/>
      </c>
    </row>
    <row r="190" ht="30" customHeight="1">
      <c r="A190" s="65" t="str">
        <f>IF(N190="","",184)</f>
        <v/>
      </c>
      <c r="B190" s="66" t="str">
        <f>IF(N190="","",INDEX(am_num,N190)&amp;"")</f>
        <v/>
      </c>
      <c r="C190" s="67" t="str">
        <f>IF(N190="","",INDEX(am_step,N190)&amp;"")</f>
        <v/>
      </c>
      <c r="D190" s="67" t="str">
        <f>IF(N190="","",INDEX(am_mode,N190)&amp;"")</f>
        <v/>
      </c>
      <c r="E190" s="65" t="str">
        <f>IF(N190="","",INDEX(am_ipr,N190))</f>
        <v/>
      </c>
      <c r="F190" s="65" t="str">
        <f>IF(N190="","",INDEX(am_crit,N190)&amp;"")</f>
        <v/>
      </c>
      <c r="G190" s="67" t="str">
        <f>IF(N190="","",INDEX(am_action,N190)&amp;"")</f>
        <v/>
      </c>
      <c r="H190" s="67" t="str">
        <f>IF(N190="","",INDEX(am_who,N190)&amp;"")</f>
        <v/>
      </c>
      <c r="I190" s="68" t="str">
        <f>IF(N190="","",IF(N(INDEX(am_due,N190))&gt;0,INDEX(am_due,N190),""))</f>
        <v/>
      </c>
      <c r="J190" s="65" t="str">
        <f>IF(N190="","",INDEX(am_status,N190)&amp;"")</f>
        <v/>
      </c>
      <c r="K190" s="65" t="str">
        <f>IF(N190="","",INDEX(am_suivi,N190)&amp;"")</f>
        <v/>
      </c>
      <c r="L190" s="65" t="str">
        <f>IF(K190="En retard",p_today-I190,"")</f>
        <v/>
      </c>
      <c r="M190" s="69" t="str">
        <f>IF(N190="","",IF(ISNUMBER(INDEX(am_cost,N190)),INDEX(am_cost,N190),""))</f>
        <v/>
      </c>
      <c r="N190" s="66" t="str">
        <f>IFERROR(MATCH(SMALL(am_plankey,184),am_plankey,0),"")</f>
        <v/>
      </c>
    </row>
    <row r="191" ht="30" customHeight="1">
      <c r="A191" s="65" t="str">
        <f>IF(N191="","",185)</f>
        <v/>
      </c>
      <c r="B191" s="66" t="str">
        <f>IF(N191="","",INDEX(am_num,N191)&amp;"")</f>
        <v/>
      </c>
      <c r="C191" s="67" t="str">
        <f>IF(N191="","",INDEX(am_step,N191)&amp;"")</f>
        <v/>
      </c>
      <c r="D191" s="67" t="str">
        <f>IF(N191="","",INDEX(am_mode,N191)&amp;"")</f>
        <v/>
      </c>
      <c r="E191" s="65" t="str">
        <f>IF(N191="","",INDEX(am_ipr,N191))</f>
        <v/>
      </c>
      <c r="F191" s="65" t="str">
        <f>IF(N191="","",INDEX(am_crit,N191)&amp;"")</f>
        <v/>
      </c>
      <c r="G191" s="67" t="str">
        <f>IF(N191="","",INDEX(am_action,N191)&amp;"")</f>
        <v/>
      </c>
      <c r="H191" s="67" t="str">
        <f>IF(N191="","",INDEX(am_who,N191)&amp;"")</f>
        <v/>
      </c>
      <c r="I191" s="68" t="str">
        <f>IF(N191="","",IF(N(INDEX(am_due,N191))&gt;0,INDEX(am_due,N191),""))</f>
        <v/>
      </c>
      <c r="J191" s="65" t="str">
        <f>IF(N191="","",INDEX(am_status,N191)&amp;"")</f>
        <v/>
      </c>
      <c r="K191" s="65" t="str">
        <f>IF(N191="","",INDEX(am_suivi,N191)&amp;"")</f>
        <v/>
      </c>
      <c r="L191" s="65" t="str">
        <f>IF(K191="En retard",p_today-I191,"")</f>
        <v/>
      </c>
      <c r="M191" s="69" t="str">
        <f>IF(N191="","",IF(ISNUMBER(INDEX(am_cost,N191)),INDEX(am_cost,N191),""))</f>
        <v/>
      </c>
      <c r="N191" s="66" t="str">
        <f>IFERROR(MATCH(SMALL(am_plankey,185),am_plankey,0),"")</f>
        <v/>
      </c>
    </row>
    <row r="192" ht="30" customHeight="1">
      <c r="A192" s="65" t="str">
        <f>IF(N192="","",186)</f>
        <v/>
      </c>
      <c r="B192" s="66" t="str">
        <f>IF(N192="","",INDEX(am_num,N192)&amp;"")</f>
        <v/>
      </c>
      <c r="C192" s="67" t="str">
        <f>IF(N192="","",INDEX(am_step,N192)&amp;"")</f>
        <v/>
      </c>
      <c r="D192" s="67" t="str">
        <f>IF(N192="","",INDEX(am_mode,N192)&amp;"")</f>
        <v/>
      </c>
      <c r="E192" s="65" t="str">
        <f>IF(N192="","",INDEX(am_ipr,N192))</f>
        <v/>
      </c>
      <c r="F192" s="65" t="str">
        <f>IF(N192="","",INDEX(am_crit,N192)&amp;"")</f>
        <v/>
      </c>
      <c r="G192" s="67" t="str">
        <f>IF(N192="","",INDEX(am_action,N192)&amp;"")</f>
        <v/>
      </c>
      <c r="H192" s="67" t="str">
        <f>IF(N192="","",INDEX(am_who,N192)&amp;"")</f>
        <v/>
      </c>
      <c r="I192" s="68" t="str">
        <f>IF(N192="","",IF(N(INDEX(am_due,N192))&gt;0,INDEX(am_due,N192),""))</f>
        <v/>
      </c>
      <c r="J192" s="65" t="str">
        <f>IF(N192="","",INDEX(am_status,N192)&amp;"")</f>
        <v/>
      </c>
      <c r="K192" s="65" t="str">
        <f>IF(N192="","",INDEX(am_suivi,N192)&amp;"")</f>
        <v/>
      </c>
      <c r="L192" s="65" t="str">
        <f>IF(K192="En retard",p_today-I192,"")</f>
        <v/>
      </c>
      <c r="M192" s="69" t="str">
        <f>IF(N192="","",IF(ISNUMBER(INDEX(am_cost,N192)),INDEX(am_cost,N192),""))</f>
        <v/>
      </c>
      <c r="N192" s="66" t="str">
        <f>IFERROR(MATCH(SMALL(am_plankey,186),am_plankey,0),"")</f>
        <v/>
      </c>
    </row>
    <row r="193" ht="30" customHeight="1">
      <c r="A193" s="65" t="str">
        <f>IF(N193="","",187)</f>
        <v/>
      </c>
      <c r="B193" s="66" t="str">
        <f>IF(N193="","",INDEX(am_num,N193)&amp;"")</f>
        <v/>
      </c>
      <c r="C193" s="67" t="str">
        <f>IF(N193="","",INDEX(am_step,N193)&amp;"")</f>
        <v/>
      </c>
      <c r="D193" s="67" t="str">
        <f>IF(N193="","",INDEX(am_mode,N193)&amp;"")</f>
        <v/>
      </c>
      <c r="E193" s="65" t="str">
        <f>IF(N193="","",INDEX(am_ipr,N193))</f>
        <v/>
      </c>
      <c r="F193" s="65" t="str">
        <f>IF(N193="","",INDEX(am_crit,N193)&amp;"")</f>
        <v/>
      </c>
      <c r="G193" s="67" t="str">
        <f>IF(N193="","",INDEX(am_action,N193)&amp;"")</f>
        <v/>
      </c>
      <c r="H193" s="67" t="str">
        <f>IF(N193="","",INDEX(am_who,N193)&amp;"")</f>
        <v/>
      </c>
      <c r="I193" s="68" t="str">
        <f>IF(N193="","",IF(N(INDEX(am_due,N193))&gt;0,INDEX(am_due,N193),""))</f>
        <v/>
      </c>
      <c r="J193" s="65" t="str">
        <f>IF(N193="","",INDEX(am_status,N193)&amp;"")</f>
        <v/>
      </c>
      <c r="K193" s="65" t="str">
        <f>IF(N193="","",INDEX(am_suivi,N193)&amp;"")</f>
        <v/>
      </c>
      <c r="L193" s="65" t="str">
        <f>IF(K193="En retard",p_today-I193,"")</f>
        <v/>
      </c>
      <c r="M193" s="69" t="str">
        <f>IF(N193="","",IF(ISNUMBER(INDEX(am_cost,N193)),INDEX(am_cost,N193),""))</f>
        <v/>
      </c>
      <c r="N193" s="66" t="str">
        <f>IFERROR(MATCH(SMALL(am_plankey,187),am_plankey,0),"")</f>
        <v/>
      </c>
    </row>
    <row r="194" ht="30" customHeight="1">
      <c r="A194" s="65" t="str">
        <f>IF(N194="","",188)</f>
        <v/>
      </c>
      <c r="B194" s="66" t="str">
        <f>IF(N194="","",INDEX(am_num,N194)&amp;"")</f>
        <v/>
      </c>
      <c r="C194" s="67" t="str">
        <f>IF(N194="","",INDEX(am_step,N194)&amp;"")</f>
        <v/>
      </c>
      <c r="D194" s="67" t="str">
        <f>IF(N194="","",INDEX(am_mode,N194)&amp;"")</f>
        <v/>
      </c>
      <c r="E194" s="65" t="str">
        <f>IF(N194="","",INDEX(am_ipr,N194))</f>
        <v/>
      </c>
      <c r="F194" s="65" t="str">
        <f>IF(N194="","",INDEX(am_crit,N194)&amp;"")</f>
        <v/>
      </c>
      <c r="G194" s="67" t="str">
        <f>IF(N194="","",INDEX(am_action,N194)&amp;"")</f>
        <v/>
      </c>
      <c r="H194" s="67" t="str">
        <f>IF(N194="","",INDEX(am_who,N194)&amp;"")</f>
        <v/>
      </c>
      <c r="I194" s="68" t="str">
        <f>IF(N194="","",IF(N(INDEX(am_due,N194))&gt;0,INDEX(am_due,N194),""))</f>
        <v/>
      </c>
      <c r="J194" s="65" t="str">
        <f>IF(N194="","",INDEX(am_status,N194)&amp;"")</f>
        <v/>
      </c>
      <c r="K194" s="65" t="str">
        <f>IF(N194="","",INDEX(am_suivi,N194)&amp;"")</f>
        <v/>
      </c>
      <c r="L194" s="65" t="str">
        <f>IF(K194="En retard",p_today-I194,"")</f>
        <v/>
      </c>
      <c r="M194" s="69" t="str">
        <f>IF(N194="","",IF(ISNUMBER(INDEX(am_cost,N194)),INDEX(am_cost,N194),""))</f>
        <v/>
      </c>
      <c r="N194" s="66" t="str">
        <f>IFERROR(MATCH(SMALL(am_plankey,188),am_plankey,0),"")</f>
        <v/>
      </c>
    </row>
    <row r="195" ht="30" customHeight="1">
      <c r="A195" s="65" t="str">
        <f>IF(N195="","",189)</f>
        <v/>
      </c>
      <c r="B195" s="66" t="str">
        <f>IF(N195="","",INDEX(am_num,N195)&amp;"")</f>
        <v/>
      </c>
      <c r="C195" s="67" t="str">
        <f>IF(N195="","",INDEX(am_step,N195)&amp;"")</f>
        <v/>
      </c>
      <c r="D195" s="67" t="str">
        <f>IF(N195="","",INDEX(am_mode,N195)&amp;"")</f>
        <v/>
      </c>
      <c r="E195" s="65" t="str">
        <f>IF(N195="","",INDEX(am_ipr,N195))</f>
        <v/>
      </c>
      <c r="F195" s="65" t="str">
        <f>IF(N195="","",INDEX(am_crit,N195)&amp;"")</f>
        <v/>
      </c>
      <c r="G195" s="67" t="str">
        <f>IF(N195="","",INDEX(am_action,N195)&amp;"")</f>
        <v/>
      </c>
      <c r="H195" s="67" t="str">
        <f>IF(N195="","",INDEX(am_who,N195)&amp;"")</f>
        <v/>
      </c>
      <c r="I195" s="68" t="str">
        <f>IF(N195="","",IF(N(INDEX(am_due,N195))&gt;0,INDEX(am_due,N195),""))</f>
        <v/>
      </c>
      <c r="J195" s="65" t="str">
        <f>IF(N195="","",INDEX(am_status,N195)&amp;"")</f>
        <v/>
      </c>
      <c r="K195" s="65" t="str">
        <f>IF(N195="","",INDEX(am_suivi,N195)&amp;"")</f>
        <v/>
      </c>
      <c r="L195" s="65" t="str">
        <f>IF(K195="En retard",p_today-I195,"")</f>
        <v/>
      </c>
      <c r="M195" s="69" t="str">
        <f>IF(N195="","",IF(ISNUMBER(INDEX(am_cost,N195)),INDEX(am_cost,N195),""))</f>
        <v/>
      </c>
      <c r="N195" s="66" t="str">
        <f>IFERROR(MATCH(SMALL(am_plankey,189),am_plankey,0),"")</f>
        <v/>
      </c>
    </row>
    <row r="196" ht="30" customHeight="1">
      <c r="A196" s="65" t="str">
        <f>IF(N196="","",190)</f>
        <v/>
      </c>
      <c r="B196" s="66" t="str">
        <f>IF(N196="","",INDEX(am_num,N196)&amp;"")</f>
        <v/>
      </c>
      <c r="C196" s="67" t="str">
        <f>IF(N196="","",INDEX(am_step,N196)&amp;"")</f>
        <v/>
      </c>
      <c r="D196" s="67" t="str">
        <f>IF(N196="","",INDEX(am_mode,N196)&amp;"")</f>
        <v/>
      </c>
      <c r="E196" s="65" t="str">
        <f>IF(N196="","",INDEX(am_ipr,N196))</f>
        <v/>
      </c>
      <c r="F196" s="65" t="str">
        <f>IF(N196="","",INDEX(am_crit,N196)&amp;"")</f>
        <v/>
      </c>
      <c r="G196" s="67" t="str">
        <f>IF(N196="","",INDEX(am_action,N196)&amp;"")</f>
        <v/>
      </c>
      <c r="H196" s="67" t="str">
        <f>IF(N196="","",INDEX(am_who,N196)&amp;"")</f>
        <v/>
      </c>
      <c r="I196" s="68" t="str">
        <f>IF(N196="","",IF(N(INDEX(am_due,N196))&gt;0,INDEX(am_due,N196),""))</f>
        <v/>
      </c>
      <c r="J196" s="65" t="str">
        <f>IF(N196="","",INDEX(am_status,N196)&amp;"")</f>
        <v/>
      </c>
      <c r="K196" s="65" t="str">
        <f>IF(N196="","",INDEX(am_suivi,N196)&amp;"")</f>
        <v/>
      </c>
      <c r="L196" s="65" t="str">
        <f>IF(K196="En retard",p_today-I196,"")</f>
        <v/>
      </c>
      <c r="M196" s="69" t="str">
        <f>IF(N196="","",IF(ISNUMBER(INDEX(am_cost,N196)),INDEX(am_cost,N196),""))</f>
        <v/>
      </c>
      <c r="N196" s="66" t="str">
        <f>IFERROR(MATCH(SMALL(am_plankey,190),am_plankey,0),"")</f>
        <v/>
      </c>
    </row>
    <row r="197" ht="30" customHeight="1">
      <c r="A197" s="65" t="str">
        <f>IF(N197="","",191)</f>
        <v/>
      </c>
      <c r="B197" s="66" t="str">
        <f>IF(N197="","",INDEX(am_num,N197)&amp;"")</f>
        <v/>
      </c>
      <c r="C197" s="67" t="str">
        <f>IF(N197="","",INDEX(am_step,N197)&amp;"")</f>
        <v/>
      </c>
      <c r="D197" s="67" t="str">
        <f>IF(N197="","",INDEX(am_mode,N197)&amp;"")</f>
        <v/>
      </c>
      <c r="E197" s="65" t="str">
        <f>IF(N197="","",INDEX(am_ipr,N197))</f>
        <v/>
      </c>
      <c r="F197" s="65" t="str">
        <f>IF(N197="","",INDEX(am_crit,N197)&amp;"")</f>
        <v/>
      </c>
      <c r="G197" s="67" t="str">
        <f>IF(N197="","",INDEX(am_action,N197)&amp;"")</f>
        <v/>
      </c>
      <c r="H197" s="67" t="str">
        <f>IF(N197="","",INDEX(am_who,N197)&amp;"")</f>
        <v/>
      </c>
      <c r="I197" s="68" t="str">
        <f>IF(N197="","",IF(N(INDEX(am_due,N197))&gt;0,INDEX(am_due,N197),""))</f>
        <v/>
      </c>
      <c r="J197" s="65" t="str">
        <f>IF(N197="","",INDEX(am_status,N197)&amp;"")</f>
        <v/>
      </c>
      <c r="K197" s="65" t="str">
        <f>IF(N197="","",INDEX(am_suivi,N197)&amp;"")</f>
        <v/>
      </c>
      <c r="L197" s="65" t="str">
        <f>IF(K197="En retard",p_today-I197,"")</f>
        <v/>
      </c>
      <c r="M197" s="69" t="str">
        <f>IF(N197="","",IF(ISNUMBER(INDEX(am_cost,N197)),INDEX(am_cost,N197),""))</f>
        <v/>
      </c>
      <c r="N197" s="66" t="str">
        <f>IFERROR(MATCH(SMALL(am_plankey,191),am_plankey,0),"")</f>
        <v/>
      </c>
    </row>
    <row r="198" ht="30" customHeight="1">
      <c r="A198" s="65" t="str">
        <f>IF(N198="","",192)</f>
        <v/>
      </c>
      <c r="B198" s="66" t="str">
        <f>IF(N198="","",INDEX(am_num,N198)&amp;"")</f>
        <v/>
      </c>
      <c r="C198" s="67" t="str">
        <f>IF(N198="","",INDEX(am_step,N198)&amp;"")</f>
        <v/>
      </c>
      <c r="D198" s="67" t="str">
        <f>IF(N198="","",INDEX(am_mode,N198)&amp;"")</f>
        <v/>
      </c>
      <c r="E198" s="65" t="str">
        <f>IF(N198="","",INDEX(am_ipr,N198))</f>
        <v/>
      </c>
      <c r="F198" s="65" t="str">
        <f>IF(N198="","",INDEX(am_crit,N198)&amp;"")</f>
        <v/>
      </c>
      <c r="G198" s="67" t="str">
        <f>IF(N198="","",INDEX(am_action,N198)&amp;"")</f>
        <v/>
      </c>
      <c r="H198" s="67" t="str">
        <f>IF(N198="","",INDEX(am_who,N198)&amp;"")</f>
        <v/>
      </c>
      <c r="I198" s="68" t="str">
        <f>IF(N198="","",IF(N(INDEX(am_due,N198))&gt;0,INDEX(am_due,N198),""))</f>
        <v/>
      </c>
      <c r="J198" s="65" t="str">
        <f>IF(N198="","",INDEX(am_status,N198)&amp;"")</f>
        <v/>
      </c>
      <c r="K198" s="65" t="str">
        <f>IF(N198="","",INDEX(am_suivi,N198)&amp;"")</f>
        <v/>
      </c>
      <c r="L198" s="65" t="str">
        <f>IF(K198="En retard",p_today-I198,"")</f>
        <v/>
      </c>
      <c r="M198" s="69" t="str">
        <f>IF(N198="","",IF(ISNUMBER(INDEX(am_cost,N198)),INDEX(am_cost,N198),""))</f>
        <v/>
      </c>
      <c r="N198" s="66" t="str">
        <f>IFERROR(MATCH(SMALL(am_plankey,192),am_plankey,0),"")</f>
        <v/>
      </c>
    </row>
    <row r="199" ht="30" customHeight="1">
      <c r="A199" s="65" t="str">
        <f>IF(N199="","",193)</f>
        <v/>
      </c>
      <c r="B199" s="66" t="str">
        <f>IF(N199="","",INDEX(am_num,N199)&amp;"")</f>
        <v/>
      </c>
      <c r="C199" s="67" t="str">
        <f>IF(N199="","",INDEX(am_step,N199)&amp;"")</f>
        <v/>
      </c>
      <c r="D199" s="67" t="str">
        <f>IF(N199="","",INDEX(am_mode,N199)&amp;"")</f>
        <v/>
      </c>
      <c r="E199" s="65" t="str">
        <f>IF(N199="","",INDEX(am_ipr,N199))</f>
        <v/>
      </c>
      <c r="F199" s="65" t="str">
        <f>IF(N199="","",INDEX(am_crit,N199)&amp;"")</f>
        <v/>
      </c>
      <c r="G199" s="67" t="str">
        <f>IF(N199="","",INDEX(am_action,N199)&amp;"")</f>
        <v/>
      </c>
      <c r="H199" s="67" t="str">
        <f>IF(N199="","",INDEX(am_who,N199)&amp;"")</f>
        <v/>
      </c>
      <c r="I199" s="68" t="str">
        <f>IF(N199="","",IF(N(INDEX(am_due,N199))&gt;0,INDEX(am_due,N199),""))</f>
        <v/>
      </c>
      <c r="J199" s="65" t="str">
        <f>IF(N199="","",INDEX(am_status,N199)&amp;"")</f>
        <v/>
      </c>
      <c r="K199" s="65" t="str">
        <f>IF(N199="","",INDEX(am_suivi,N199)&amp;"")</f>
        <v/>
      </c>
      <c r="L199" s="65" t="str">
        <f>IF(K199="En retard",p_today-I199,"")</f>
        <v/>
      </c>
      <c r="M199" s="69" t="str">
        <f>IF(N199="","",IF(ISNUMBER(INDEX(am_cost,N199)),INDEX(am_cost,N199),""))</f>
        <v/>
      </c>
      <c r="N199" s="66" t="str">
        <f>IFERROR(MATCH(SMALL(am_plankey,193),am_plankey,0),"")</f>
        <v/>
      </c>
    </row>
    <row r="200" ht="30" customHeight="1">
      <c r="A200" s="65" t="str">
        <f>IF(N200="","",194)</f>
        <v/>
      </c>
      <c r="B200" s="66" t="str">
        <f>IF(N200="","",INDEX(am_num,N200)&amp;"")</f>
        <v/>
      </c>
      <c r="C200" s="67" t="str">
        <f>IF(N200="","",INDEX(am_step,N200)&amp;"")</f>
        <v/>
      </c>
      <c r="D200" s="67" t="str">
        <f>IF(N200="","",INDEX(am_mode,N200)&amp;"")</f>
        <v/>
      </c>
      <c r="E200" s="65" t="str">
        <f>IF(N200="","",INDEX(am_ipr,N200))</f>
        <v/>
      </c>
      <c r="F200" s="65" t="str">
        <f>IF(N200="","",INDEX(am_crit,N200)&amp;"")</f>
        <v/>
      </c>
      <c r="G200" s="67" t="str">
        <f>IF(N200="","",INDEX(am_action,N200)&amp;"")</f>
        <v/>
      </c>
      <c r="H200" s="67" t="str">
        <f>IF(N200="","",INDEX(am_who,N200)&amp;"")</f>
        <v/>
      </c>
      <c r="I200" s="68" t="str">
        <f>IF(N200="","",IF(N(INDEX(am_due,N200))&gt;0,INDEX(am_due,N200),""))</f>
        <v/>
      </c>
      <c r="J200" s="65" t="str">
        <f>IF(N200="","",INDEX(am_status,N200)&amp;"")</f>
        <v/>
      </c>
      <c r="K200" s="65" t="str">
        <f>IF(N200="","",INDEX(am_suivi,N200)&amp;"")</f>
        <v/>
      </c>
      <c r="L200" s="65" t="str">
        <f>IF(K200="En retard",p_today-I200,"")</f>
        <v/>
      </c>
      <c r="M200" s="69" t="str">
        <f>IF(N200="","",IF(ISNUMBER(INDEX(am_cost,N200)),INDEX(am_cost,N200),""))</f>
        <v/>
      </c>
      <c r="N200" s="66" t="str">
        <f>IFERROR(MATCH(SMALL(am_plankey,194),am_plankey,0),"")</f>
        <v/>
      </c>
    </row>
    <row r="201" ht="30" customHeight="1">
      <c r="A201" s="65" t="str">
        <f>IF(N201="","",195)</f>
        <v/>
      </c>
      <c r="B201" s="66" t="str">
        <f>IF(N201="","",INDEX(am_num,N201)&amp;"")</f>
        <v/>
      </c>
      <c r="C201" s="67" t="str">
        <f>IF(N201="","",INDEX(am_step,N201)&amp;"")</f>
        <v/>
      </c>
      <c r="D201" s="67" t="str">
        <f>IF(N201="","",INDEX(am_mode,N201)&amp;"")</f>
        <v/>
      </c>
      <c r="E201" s="65" t="str">
        <f>IF(N201="","",INDEX(am_ipr,N201))</f>
        <v/>
      </c>
      <c r="F201" s="65" t="str">
        <f>IF(N201="","",INDEX(am_crit,N201)&amp;"")</f>
        <v/>
      </c>
      <c r="G201" s="67" t="str">
        <f>IF(N201="","",INDEX(am_action,N201)&amp;"")</f>
        <v/>
      </c>
      <c r="H201" s="67" t="str">
        <f>IF(N201="","",INDEX(am_who,N201)&amp;"")</f>
        <v/>
      </c>
      <c r="I201" s="68" t="str">
        <f>IF(N201="","",IF(N(INDEX(am_due,N201))&gt;0,INDEX(am_due,N201),""))</f>
        <v/>
      </c>
      <c r="J201" s="65" t="str">
        <f>IF(N201="","",INDEX(am_status,N201)&amp;"")</f>
        <v/>
      </c>
      <c r="K201" s="65" t="str">
        <f>IF(N201="","",INDEX(am_suivi,N201)&amp;"")</f>
        <v/>
      </c>
      <c r="L201" s="65" t="str">
        <f>IF(K201="En retard",p_today-I201,"")</f>
        <v/>
      </c>
      <c r="M201" s="69" t="str">
        <f>IF(N201="","",IF(ISNUMBER(INDEX(am_cost,N201)),INDEX(am_cost,N201),""))</f>
        <v/>
      </c>
      <c r="N201" s="66" t="str">
        <f>IFERROR(MATCH(SMALL(am_plankey,195),am_plankey,0),"")</f>
        <v/>
      </c>
    </row>
    <row r="202" ht="30" customHeight="1">
      <c r="A202" s="65" t="str">
        <f>IF(N202="","",196)</f>
        <v/>
      </c>
      <c r="B202" s="66" t="str">
        <f>IF(N202="","",INDEX(am_num,N202)&amp;"")</f>
        <v/>
      </c>
      <c r="C202" s="67" t="str">
        <f>IF(N202="","",INDEX(am_step,N202)&amp;"")</f>
        <v/>
      </c>
      <c r="D202" s="67" t="str">
        <f>IF(N202="","",INDEX(am_mode,N202)&amp;"")</f>
        <v/>
      </c>
      <c r="E202" s="65" t="str">
        <f>IF(N202="","",INDEX(am_ipr,N202))</f>
        <v/>
      </c>
      <c r="F202" s="65" t="str">
        <f>IF(N202="","",INDEX(am_crit,N202)&amp;"")</f>
        <v/>
      </c>
      <c r="G202" s="67" t="str">
        <f>IF(N202="","",INDEX(am_action,N202)&amp;"")</f>
        <v/>
      </c>
      <c r="H202" s="67" t="str">
        <f>IF(N202="","",INDEX(am_who,N202)&amp;"")</f>
        <v/>
      </c>
      <c r="I202" s="68" t="str">
        <f>IF(N202="","",IF(N(INDEX(am_due,N202))&gt;0,INDEX(am_due,N202),""))</f>
        <v/>
      </c>
      <c r="J202" s="65" t="str">
        <f>IF(N202="","",INDEX(am_status,N202)&amp;"")</f>
        <v/>
      </c>
      <c r="K202" s="65" t="str">
        <f>IF(N202="","",INDEX(am_suivi,N202)&amp;"")</f>
        <v/>
      </c>
      <c r="L202" s="65" t="str">
        <f>IF(K202="En retard",p_today-I202,"")</f>
        <v/>
      </c>
      <c r="M202" s="69" t="str">
        <f>IF(N202="","",IF(ISNUMBER(INDEX(am_cost,N202)),INDEX(am_cost,N202),""))</f>
        <v/>
      </c>
      <c r="N202" s="66" t="str">
        <f>IFERROR(MATCH(SMALL(am_plankey,196),am_plankey,0),"")</f>
        <v/>
      </c>
    </row>
    <row r="203" ht="30" customHeight="1">
      <c r="A203" s="65" t="str">
        <f>IF(N203="","",197)</f>
        <v/>
      </c>
      <c r="B203" s="66" t="str">
        <f>IF(N203="","",INDEX(am_num,N203)&amp;"")</f>
        <v/>
      </c>
      <c r="C203" s="67" t="str">
        <f>IF(N203="","",INDEX(am_step,N203)&amp;"")</f>
        <v/>
      </c>
      <c r="D203" s="67" t="str">
        <f>IF(N203="","",INDEX(am_mode,N203)&amp;"")</f>
        <v/>
      </c>
      <c r="E203" s="65" t="str">
        <f>IF(N203="","",INDEX(am_ipr,N203))</f>
        <v/>
      </c>
      <c r="F203" s="65" t="str">
        <f>IF(N203="","",INDEX(am_crit,N203)&amp;"")</f>
        <v/>
      </c>
      <c r="G203" s="67" t="str">
        <f>IF(N203="","",INDEX(am_action,N203)&amp;"")</f>
        <v/>
      </c>
      <c r="H203" s="67" t="str">
        <f>IF(N203="","",INDEX(am_who,N203)&amp;"")</f>
        <v/>
      </c>
      <c r="I203" s="68" t="str">
        <f>IF(N203="","",IF(N(INDEX(am_due,N203))&gt;0,INDEX(am_due,N203),""))</f>
        <v/>
      </c>
      <c r="J203" s="65" t="str">
        <f>IF(N203="","",INDEX(am_status,N203)&amp;"")</f>
        <v/>
      </c>
      <c r="K203" s="65" t="str">
        <f>IF(N203="","",INDEX(am_suivi,N203)&amp;"")</f>
        <v/>
      </c>
      <c r="L203" s="65" t="str">
        <f>IF(K203="En retard",p_today-I203,"")</f>
        <v/>
      </c>
      <c r="M203" s="69" t="str">
        <f>IF(N203="","",IF(ISNUMBER(INDEX(am_cost,N203)),INDEX(am_cost,N203),""))</f>
        <v/>
      </c>
      <c r="N203" s="66" t="str">
        <f>IFERROR(MATCH(SMALL(am_plankey,197),am_plankey,0),"")</f>
        <v/>
      </c>
    </row>
    <row r="204" ht="30" customHeight="1">
      <c r="A204" s="65" t="str">
        <f>IF(N204="","",198)</f>
        <v/>
      </c>
      <c r="B204" s="66" t="str">
        <f>IF(N204="","",INDEX(am_num,N204)&amp;"")</f>
        <v/>
      </c>
      <c r="C204" s="67" t="str">
        <f>IF(N204="","",INDEX(am_step,N204)&amp;"")</f>
        <v/>
      </c>
      <c r="D204" s="67" t="str">
        <f>IF(N204="","",INDEX(am_mode,N204)&amp;"")</f>
        <v/>
      </c>
      <c r="E204" s="65" t="str">
        <f>IF(N204="","",INDEX(am_ipr,N204))</f>
        <v/>
      </c>
      <c r="F204" s="65" t="str">
        <f>IF(N204="","",INDEX(am_crit,N204)&amp;"")</f>
        <v/>
      </c>
      <c r="G204" s="67" t="str">
        <f>IF(N204="","",INDEX(am_action,N204)&amp;"")</f>
        <v/>
      </c>
      <c r="H204" s="67" t="str">
        <f>IF(N204="","",INDEX(am_who,N204)&amp;"")</f>
        <v/>
      </c>
      <c r="I204" s="68" t="str">
        <f>IF(N204="","",IF(N(INDEX(am_due,N204))&gt;0,INDEX(am_due,N204),""))</f>
        <v/>
      </c>
      <c r="J204" s="65" t="str">
        <f>IF(N204="","",INDEX(am_status,N204)&amp;"")</f>
        <v/>
      </c>
      <c r="K204" s="65" t="str">
        <f>IF(N204="","",INDEX(am_suivi,N204)&amp;"")</f>
        <v/>
      </c>
      <c r="L204" s="65" t="str">
        <f>IF(K204="En retard",p_today-I204,"")</f>
        <v/>
      </c>
      <c r="M204" s="69" t="str">
        <f>IF(N204="","",IF(ISNUMBER(INDEX(am_cost,N204)),INDEX(am_cost,N204),""))</f>
        <v/>
      </c>
      <c r="N204" s="66" t="str">
        <f>IFERROR(MATCH(SMALL(am_plankey,198),am_plankey,0),"")</f>
        <v/>
      </c>
    </row>
    <row r="205" ht="30" customHeight="1">
      <c r="A205" s="65" t="str">
        <f>IF(N205="","",199)</f>
        <v/>
      </c>
      <c r="B205" s="66" t="str">
        <f>IF(N205="","",INDEX(am_num,N205)&amp;"")</f>
        <v/>
      </c>
      <c r="C205" s="67" t="str">
        <f>IF(N205="","",INDEX(am_step,N205)&amp;"")</f>
        <v/>
      </c>
      <c r="D205" s="67" t="str">
        <f>IF(N205="","",INDEX(am_mode,N205)&amp;"")</f>
        <v/>
      </c>
      <c r="E205" s="65" t="str">
        <f>IF(N205="","",INDEX(am_ipr,N205))</f>
        <v/>
      </c>
      <c r="F205" s="65" t="str">
        <f>IF(N205="","",INDEX(am_crit,N205)&amp;"")</f>
        <v/>
      </c>
      <c r="G205" s="67" t="str">
        <f>IF(N205="","",INDEX(am_action,N205)&amp;"")</f>
        <v/>
      </c>
      <c r="H205" s="67" t="str">
        <f>IF(N205="","",INDEX(am_who,N205)&amp;"")</f>
        <v/>
      </c>
      <c r="I205" s="68" t="str">
        <f>IF(N205="","",IF(N(INDEX(am_due,N205))&gt;0,INDEX(am_due,N205),""))</f>
        <v/>
      </c>
      <c r="J205" s="65" t="str">
        <f>IF(N205="","",INDEX(am_status,N205)&amp;"")</f>
        <v/>
      </c>
      <c r="K205" s="65" t="str">
        <f>IF(N205="","",INDEX(am_suivi,N205)&amp;"")</f>
        <v/>
      </c>
      <c r="L205" s="65" t="str">
        <f>IF(K205="En retard",p_today-I205,"")</f>
        <v/>
      </c>
      <c r="M205" s="69" t="str">
        <f>IF(N205="","",IF(ISNUMBER(INDEX(am_cost,N205)),INDEX(am_cost,N205),""))</f>
        <v/>
      </c>
      <c r="N205" s="66" t="str">
        <f>IFERROR(MATCH(SMALL(am_plankey,199),am_plankey,0),"")</f>
        <v/>
      </c>
    </row>
    <row r="206" ht="30" customHeight="1">
      <c r="A206" s="65" t="str">
        <f>IF(N206="","",200)</f>
        <v/>
      </c>
      <c r="B206" s="66" t="str">
        <f>IF(N206="","",INDEX(am_num,N206)&amp;"")</f>
        <v/>
      </c>
      <c r="C206" s="67" t="str">
        <f>IF(N206="","",INDEX(am_step,N206)&amp;"")</f>
        <v/>
      </c>
      <c r="D206" s="67" t="str">
        <f>IF(N206="","",INDEX(am_mode,N206)&amp;"")</f>
        <v/>
      </c>
      <c r="E206" s="65" t="str">
        <f>IF(N206="","",INDEX(am_ipr,N206))</f>
        <v/>
      </c>
      <c r="F206" s="65" t="str">
        <f>IF(N206="","",INDEX(am_crit,N206)&amp;"")</f>
        <v/>
      </c>
      <c r="G206" s="67" t="str">
        <f>IF(N206="","",INDEX(am_action,N206)&amp;"")</f>
        <v/>
      </c>
      <c r="H206" s="67" t="str">
        <f>IF(N206="","",INDEX(am_who,N206)&amp;"")</f>
        <v/>
      </c>
      <c r="I206" s="68" t="str">
        <f>IF(N206="","",IF(N(INDEX(am_due,N206))&gt;0,INDEX(am_due,N206),""))</f>
        <v/>
      </c>
      <c r="J206" s="65" t="str">
        <f>IF(N206="","",INDEX(am_status,N206)&amp;"")</f>
        <v/>
      </c>
      <c r="K206" s="65" t="str">
        <f>IF(N206="","",INDEX(am_suivi,N206)&amp;"")</f>
        <v/>
      </c>
      <c r="L206" s="65" t="str">
        <f>IF(K206="En retard",p_today-I206,"")</f>
        <v/>
      </c>
      <c r="M206" s="69" t="str">
        <f>IF(N206="","",IF(ISNUMBER(INDEX(am_cost,N206)),INDEX(am_cost,N206),""))</f>
        <v/>
      </c>
      <c r="N206" s="66" t="str">
        <f>IFERROR(MATCH(SMALL(am_plankey,200),am_plankey,0),"")</f>
        <v/>
      </c>
    </row>
    <row r="207">
      <c r="A207" s="38" t="str">
        <f>IF(COUNT(am_plankey)&gt;200,"Et "&amp;(COUNT(am_plankey)-200)&amp;" autre(s) action(s) : filtrez la colonne « Suivi de l'action » de la feuille AMDEC.",IF(COUNT(am_plankey)=0,"Aucune action ouverte.",""))</f>
        <v>Aucune action ouverte.</v>
      </c>
    </row>
  </sheetData>
  <mergeCells count="4">
    <mergeCell ref="A4:B4"/>
    <mergeCell ref="J4:K4"/>
    <mergeCell ref="L4:M4"/>
    <mergeCell ref="C4:D4"/>
  </mergeCells>
  <conditionalFormatting sqref="F7:F206">
    <cfRule type="expression" priority="1" dxfId="0">
      <formula>$F7="Critique"</formula>
    </cfRule>
    <cfRule type="expression" priority="2" dxfId="1">
      <formula>$F7="Élevée"</formula>
    </cfRule>
    <cfRule type="expression" priority="3" dxfId="2">
      <formula>$F7="Moyenne"</formula>
    </cfRule>
    <cfRule type="expression" priority="4" dxfId="3">
      <formula>$F7="Faible"</formula>
    </cfRule>
    <cfRule type="expression" priority="5" dxfId="4">
      <formula>$F7="À coter"</formula>
    </cfRule>
  </conditionalFormatting>
  <conditionalFormatting sqref="K7:K206">
    <cfRule type="expression" priority="6" dxfId="0">
      <formula>$K7="En retard"</formula>
    </cfRule>
    <cfRule type="expression" priority="7" dxfId="1">
      <formula>$K7="Action à définir"</formula>
    </cfRule>
    <cfRule type="expression" priority="8" dxfId="5">
      <formula>$K7="Échéance manquante"</formula>
    </cfRule>
    <cfRule type="expression" priority="9" dxfId="6">
      <formula>$K7="Échéance proche"</formula>
    </cfRule>
    <cfRule type="expression" priority="10" dxfId="3">
      <formula>$K7="Dans les délais"</formula>
    </cfRule>
    <cfRule type="expression" priority="11" dxfId="7">
      <formula>$K7="À réévaluer"</formula>
    </cfRule>
    <cfRule type="expression" priority="12" dxfId="8">
      <formula>$K7="Réalisée"</formula>
    </cfRule>
    <cfRule type="expression" priority="13" dxfId="4">
      <formula>$K7="Annulée"</formula>
    </cfRule>
    <cfRule type="expression" priority="14" dxfId="4">
      <formula>$K7="Sans action"</formula>
    </cfRule>
  </conditionalFormatting>
  <conditionalFormatting sqref="L7:L206">
    <cfRule type="expression" priority="15" dxfId="16">
      <formula>ISNUMBER($L7)</formula>
    </cfRule>
  </conditionalFormatting>
  <conditionalFormatting sqref="L4">
    <cfRule type="expression" priority="16" dxfId="13">
      <formula>p_currency="MAD"</formula>
    </cfRule>
    <cfRule type="expression" priority="18" dxfId="14">
      <formula>p_currency="EUR"</formula>
    </cfRule>
    <cfRule type="expression" priority="20" dxfId="15">
      <formula>p_currency="USD"</formula>
    </cfRule>
  </conditionalFormatting>
  <conditionalFormatting sqref="M7:M206">
    <cfRule type="expression" priority="17" dxfId="13">
      <formula>p_currency="MAD"</formula>
    </cfRule>
    <cfRule type="expression" priority="19" dxfId="14">
      <formula>p_currency="EUR"</formula>
    </cfRule>
    <cfRule type="expression" priority="21" dxfId="15">
      <formula>p_currency="USD"</formula>
    </cfRule>
  </conditionalFormatting>
  <dataValidations count="1">
    <dataValidation sqref="C4" showDropDown="0" showInputMessage="1" showErrorMessage="1" allowBlank="1" errorTitle="Responsable" error="Ce nom n'est pas dans la liste des Paramètres. Cliquez sur Oui pour le garder quand même." promptTitle="Responsable" prompt="Choisissez une personne dans la liste (feuille « Paramètres ») ou tapez un autre nom." type="list" errorStyle="warning">
      <formula1>=p_people</formula1>
    </dataValidation>
  </dataValidations>
  <hyperlinks>
    <hyperlink ref="M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B91C1C"/>
    <outlinePr summaryBelow="1" summaryRight="1"/>
    <pageSetUpPr fitToPage="1"/>
  </sheetPr>
  <dimension ref="A1:Z26"/>
  <sheetViews>
    <sheetView showGridLines="0" tabSelected="0" zoomScale="100" workbookViewId="0">
      <selection activeCell="A1" sqref="A1"/>
    </sheetView>
  </sheetViews>
  <sheetFormatPr baseColWidth="8" defaultRowHeight="15"/>
  <cols>
    <col width="2" customWidth="1" min="1" max="1"/>
    <col width="11"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8" customWidth="1" min="13" max="13"/>
    <col width="4" customWidth="1" min="14" max="14"/>
    <col width="11"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8" customWidth="1" min="26" max="26"/>
  </cols>
  <sheetData>
    <row r="1" ht="38" customHeight="1">
      <c r="A1" s="1" t="n"/>
      <c r="B1" s="2" t="inlineStr">
        <is>
          <t>Matrice gravité x occurrence</t>
        </is>
      </c>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8" t="inlineStr">
        <is>
          <t>⌂ Mode d'emploi</t>
        </is>
      </c>
    </row>
    <row r="2" ht="22" customHeight="1">
      <c r="A2" s="3" t="n"/>
      <c r="B2" s="4" t="inlineStr">
        <is>
          <t>Nombre de modes de défaillance cotés dans chaque case. Les couleurs donnent la zone de risque, réglée dans « Paramètres ».</t>
        </is>
      </c>
      <c r="C2" s="3" t="n"/>
      <c r="D2" s="3" t="n"/>
      <c r="E2" s="3" t="n"/>
      <c r="F2" s="3" t="n"/>
      <c r="G2" s="3" t="n"/>
      <c r="H2" s="3" t="n"/>
      <c r="I2" s="3" t="n"/>
      <c r="J2" s="3" t="n"/>
      <c r="K2" s="3" t="n"/>
      <c r="L2" s="3" t="n"/>
      <c r="M2" s="3" t="n"/>
      <c r="N2" s="3" t="n"/>
      <c r="O2" s="3" t="n"/>
      <c r="P2" s="3" t="n"/>
      <c r="Q2" s="3" t="n"/>
      <c r="R2" s="3" t="n"/>
      <c r="S2" s="3" t="n"/>
      <c r="T2" s="3" t="n"/>
      <c r="U2" s="3" t="n"/>
      <c r="V2" s="3" t="n"/>
      <c r="W2" s="3" t="n"/>
      <c r="X2" s="3" t="n"/>
      <c r="Y2" s="3" t="n"/>
      <c r="Z2" s="3" t="n"/>
    </row>
    <row r="3" ht="18" customHeight="1"/>
    <row r="5" ht="22" customHeight="1">
      <c r="B5" s="5" t="inlineStr">
        <is>
          <t>Avant actions (cotation initiale)</t>
        </is>
      </c>
      <c r="C5" s="6" t="n"/>
      <c r="D5" s="6" t="n"/>
      <c r="E5" s="6" t="n"/>
      <c r="F5" s="6" t="n"/>
      <c r="G5" s="6" t="n"/>
      <c r="H5" s="6" t="n"/>
      <c r="I5" s="6" t="n"/>
      <c r="J5" s="6" t="n"/>
      <c r="K5" s="6" t="n"/>
      <c r="L5" s="6" t="n"/>
      <c r="M5" s="6" t="n"/>
      <c r="O5" s="5" t="inlineStr">
        <is>
          <t>Situation actuelle (après actions réévaluées)</t>
        </is>
      </c>
      <c r="P5" s="6" t="n"/>
      <c r="Q5" s="6" t="n"/>
      <c r="R5" s="6" t="n"/>
      <c r="S5" s="6" t="n"/>
      <c r="T5" s="6" t="n"/>
      <c r="U5" s="6" t="n"/>
      <c r="V5" s="6" t="n"/>
      <c r="W5" s="6" t="n"/>
      <c r="X5" s="6" t="n"/>
      <c r="Y5" s="6" t="n"/>
      <c r="Z5" s="6" t="n"/>
    </row>
    <row r="6">
      <c r="B6" s="45" t="inlineStr">
        <is>
          <t>G  \  O</t>
        </is>
      </c>
      <c r="C6" s="45" t="n">
        <v>1</v>
      </c>
      <c r="D6" s="45" t="n">
        <v>2</v>
      </c>
      <c r="E6" s="45" t="n">
        <v>3</v>
      </c>
      <c r="F6" s="45" t="n">
        <v>4</v>
      </c>
      <c r="G6" s="45" t="n">
        <v>5</v>
      </c>
      <c r="H6" s="45" t="n">
        <v>6</v>
      </c>
      <c r="I6" s="45" t="n">
        <v>7</v>
      </c>
      <c r="J6" s="45" t="n">
        <v>8</v>
      </c>
      <c r="K6" s="45" t="n">
        <v>9</v>
      </c>
      <c r="L6" s="45" t="n">
        <v>10</v>
      </c>
      <c r="M6" s="45" t="inlineStr">
        <is>
          <t>Total</t>
        </is>
      </c>
      <c r="O6" s="45" t="inlineStr">
        <is>
          <t>G  \  O</t>
        </is>
      </c>
      <c r="P6" s="45" t="n">
        <v>1</v>
      </c>
      <c r="Q6" s="45" t="n">
        <v>2</v>
      </c>
      <c r="R6" s="45" t="n">
        <v>3</v>
      </c>
      <c r="S6" s="45" t="n">
        <v>4</v>
      </c>
      <c r="T6" s="45" t="n">
        <v>5</v>
      </c>
      <c r="U6" s="45" t="n">
        <v>6</v>
      </c>
      <c r="V6" s="45" t="n">
        <v>7</v>
      </c>
      <c r="W6" s="45" t="n">
        <v>8</v>
      </c>
      <c r="X6" s="45" t="n">
        <v>9</v>
      </c>
      <c r="Y6" s="45" t="n">
        <v>10</v>
      </c>
      <c r="Z6" s="45" t="inlineStr">
        <is>
          <t>Total</t>
        </is>
      </c>
    </row>
    <row r="7" ht="26" customHeight="1">
      <c r="B7" s="45" t="n">
        <v>10</v>
      </c>
      <c r="C7" s="70">
        <f>COUNTIFS(am_g,10,am_o,1,am_ipr,"&gt;0")</f>
        <v>0.0</v>
      </c>
      <c r="D7" s="70">
        <f>COUNTIFS(am_g,10,am_o,2,am_ipr,"&gt;0")</f>
        <v>0.0</v>
      </c>
      <c r="E7" s="70">
        <f>COUNTIFS(am_g,10,am_o,3,am_ipr,"&gt;0")</f>
        <v>0.0</v>
      </c>
      <c r="F7" s="70">
        <f>COUNTIFS(am_g,10,am_o,4,am_ipr,"&gt;0")</f>
        <v>0.0</v>
      </c>
      <c r="G7" s="70">
        <f>COUNTIFS(am_g,10,am_o,5,am_ipr,"&gt;0")</f>
        <v>0.0</v>
      </c>
      <c r="H7" s="70">
        <f>COUNTIFS(am_g,10,am_o,6,am_ipr,"&gt;0")</f>
        <v>0.0</v>
      </c>
      <c r="I7" s="70">
        <f>COUNTIFS(am_g,10,am_o,7,am_ipr,"&gt;0")</f>
        <v>0.0</v>
      </c>
      <c r="J7" s="70">
        <f>COUNTIFS(am_g,10,am_o,8,am_ipr,"&gt;0")</f>
        <v>0.0</v>
      </c>
      <c r="K7" s="70">
        <f>COUNTIFS(am_g,10,am_o,9,am_ipr,"&gt;0")</f>
        <v>0.0</v>
      </c>
      <c r="L7" s="70">
        <f>COUNTIFS(am_g,10,am_o,10,am_ipr,"&gt;0")</f>
        <v>0.0</v>
      </c>
      <c r="M7" s="71">
        <f>SUM(C7:L7)</f>
        <v>0.0</v>
      </c>
      <c r="O7" s="45" t="n">
        <v>10</v>
      </c>
      <c r="P7" s="70">
        <f>COUNTIFS(am_cg,10,am_co,1)</f>
        <v>0.0</v>
      </c>
      <c r="Q7" s="70">
        <f>COUNTIFS(am_cg,10,am_co,2)</f>
        <v>0.0</v>
      </c>
      <c r="R7" s="70">
        <f>COUNTIFS(am_cg,10,am_co,3)</f>
        <v>0.0</v>
      </c>
      <c r="S7" s="70">
        <f>COUNTIFS(am_cg,10,am_co,4)</f>
        <v>0.0</v>
      </c>
      <c r="T7" s="70">
        <f>COUNTIFS(am_cg,10,am_co,5)</f>
        <v>0.0</v>
      </c>
      <c r="U7" s="70">
        <f>COUNTIFS(am_cg,10,am_co,6)</f>
        <v>0.0</v>
      </c>
      <c r="V7" s="70">
        <f>COUNTIFS(am_cg,10,am_co,7)</f>
        <v>0.0</v>
      </c>
      <c r="W7" s="70">
        <f>COUNTIFS(am_cg,10,am_co,8)</f>
        <v>0.0</v>
      </c>
      <c r="X7" s="70">
        <f>COUNTIFS(am_cg,10,am_co,9)</f>
        <v>0.0</v>
      </c>
      <c r="Y7" s="70">
        <f>COUNTIFS(am_cg,10,am_co,10)</f>
        <v>0.0</v>
      </c>
      <c r="Z7" s="71">
        <f>SUM(P7:Y7)</f>
        <v>0.0</v>
      </c>
    </row>
    <row r="8" ht="26" customHeight="1">
      <c r="B8" s="45" t="n">
        <v>9</v>
      </c>
      <c r="C8" s="70">
        <f>COUNTIFS(am_g,9,am_o,1,am_ipr,"&gt;0")</f>
        <v>0.0</v>
      </c>
      <c r="D8" s="70">
        <f>COUNTIFS(am_g,9,am_o,2,am_ipr,"&gt;0")</f>
        <v>0.0</v>
      </c>
      <c r="E8" s="70">
        <f>COUNTIFS(am_g,9,am_o,3,am_ipr,"&gt;0")</f>
        <v>0.0</v>
      </c>
      <c r="F8" s="70">
        <f>COUNTIFS(am_g,9,am_o,4,am_ipr,"&gt;0")</f>
        <v>0.0</v>
      </c>
      <c r="G8" s="70">
        <f>COUNTIFS(am_g,9,am_o,5,am_ipr,"&gt;0")</f>
        <v>0.0</v>
      </c>
      <c r="H8" s="70">
        <f>COUNTIFS(am_g,9,am_o,6,am_ipr,"&gt;0")</f>
        <v>0.0</v>
      </c>
      <c r="I8" s="70">
        <f>COUNTIFS(am_g,9,am_o,7,am_ipr,"&gt;0")</f>
        <v>0.0</v>
      </c>
      <c r="J8" s="70">
        <f>COUNTIFS(am_g,9,am_o,8,am_ipr,"&gt;0")</f>
        <v>0.0</v>
      </c>
      <c r="K8" s="70">
        <f>COUNTIFS(am_g,9,am_o,9,am_ipr,"&gt;0")</f>
        <v>0.0</v>
      </c>
      <c r="L8" s="70">
        <f>COUNTIFS(am_g,9,am_o,10,am_ipr,"&gt;0")</f>
        <v>0.0</v>
      </c>
      <c r="M8" s="71">
        <f>SUM(C8:L8)</f>
        <v>0.0</v>
      </c>
      <c r="O8" s="45" t="n">
        <v>9</v>
      </c>
      <c r="P8" s="70">
        <f>COUNTIFS(am_cg,9,am_co,1)</f>
        <v>0.0</v>
      </c>
      <c r="Q8" s="70">
        <f>COUNTIFS(am_cg,9,am_co,2)</f>
        <v>0.0</v>
      </c>
      <c r="R8" s="70">
        <f>COUNTIFS(am_cg,9,am_co,3)</f>
        <v>0.0</v>
      </c>
      <c r="S8" s="70">
        <f>COUNTIFS(am_cg,9,am_co,4)</f>
        <v>0.0</v>
      </c>
      <c r="T8" s="70">
        <f>COUNTIFS(am_cg,9,am_co,5)</f>
        <v>0.0</v>
      </c>
      <c r="U8" s="70">
        <f>COUNTIFS(am_cg,9,am_co,6)</f>
        <v>0.0</v>
      </c>
      <c r="V8" s="70">
        <f>COUNTIFS(am_cg,9,am_co,7)</f>
        <v>0.0</v>
      </c>
      <c r="W8" s="70">
        <f>COUNTIFS(am_cg,9,am_co,8)</f>
        <v>0.0</v>
      </c>
      <c r="X8" s="70">
        <f>COUNTIFS(am_cg,9,am_co,9)</f>
        <v>0.0</v>
      </c>
      <c r="Y8" s="70">
        <f>COUNTIFS(am_cg,9,am_co,10)</f>
        <v>0.0</v>
      </c>
      <c r="Z8" s="71">
        <f>SUM(P8:Y8)</f>
        <v>0.0</v>
      </c>
    </row>
    <row r="9" ht="26" customHeight="1">
      <c r="B9" s="45" t="n">
        <v>8</v>
      </c>
      <c r="C9" s="70">
        <f>COUNTIFS(am_g,8,am_o,1,am_ipr,"&gt;0")</f>
        <v>0.0</v>
      </c>
      <c r="D9" s="70">
        <f>COUNTIFS(am_g,8,am_o,2,am_ipr,"&gt;0")</f>
        <v>0.0</v>
      </c>
      <c r="E9" s="70">
        <f>COUNTIFS(am_g,8,am_o,3,am_ipr,"&gt;0")</f>
        <v>0.0</v>
      </c>
      <c r="F9" s="70">
        <f>COUNTIFS(am_g,8,am_o,4,am_ipr,"&gt;0")</f>
        <v>0.0</v>
      </c>
      <c r="G9" s="70">
        <f>COUNTIFS(am_g,8,am_o,5,am_ipr,"&gt;0")</f>
        <v>0.0</v>
      </c>
      <c r="H9" s="70">
        <f>COUNTIFS(am_g,8,am_o,6,am_ipr,"&gt;0")</f>
        <v>0.0</v>
      </c>
      <c r="I9" s="70">
        <f>COUNTIFS(am_g,8,am_o,7,am_ipr,"&gt;0")</f>
        <v>0.0</v>
      </c>
      <c r="J9" s="70">
        <f>COUNTIFS(am_g,8,am_o,8,am_ipr,"&gt;0")</f>
        <v>0.0</v>
      </c>
      <c r="K9" s="70">
        <f>COUNTIFS(am_g,8,am_o,9,am_ipr,"&gt;0")</f>
        <v>0.0</v>
      </c>
      <c r="L9" s="70">
        <f>COUNTIFS(am_g,8,am_o,10,am_ipr,"&gt;0")</f>
        <v>0.0</v>
      </c>
      <c r="M9" s="71">
        <f>SUM(C9:L9)</f>
        <v>0.0</v>
      </c>
      <c r="O9" s="45" t="n">
        <v>8</v>
      </c>
      <c r="P9" s="70">
        <f>COUNTIFS(am_cg,8,am_co,1)</f>
        <v>0.0</v>
      </c>
      <c r="Q9" s="70">
        <f>COUNTIFS(am_cg,8,am_co,2)</f>
        <v>0.0</v>
      </c>
      <c r="R9" s="70">
        <f>COUNTIFS(am_cg,8,am_co,3)</f>
        <v>0.0</v>
      </c>
      <c r="S9" s="70">
        <f>COUNTIFS(am_cg,8,am_co,4)</f>
        <v>0.0</v>
      </c>
      <c r="T9" s="70">
        <f>COUNTIFS(am_cg,8,am_co,5)</f>
        <v>0.0</v>
      </c>
      <c r="U9" s="70">
        <f>COUNTIFS(am_cg,8,am_co,6)</f>
        <v>0.0</v>
      </c>
      <c r="V9" s="70">
        <f>COUNTIFS(am_cg,8,am_co,7)</f>
        <v>0.0</v>
      </c>
      <c r="W9" s="70">
        <f>COUNTIFS(am_cg,8,am_co,8)</f>
        <v>0.0</v>
      </c>
      <c r="X9" s="70">
        <f>COUNTIFS(am_cg,8,am_co,9)</f>
        <v>0.0</v>
      </c>
      <c r="Y9" s="70">
        <f>COUNTIFS(am_cg,8,am_co,10)</f>
        <v>0.0</v>
      </c>
      <c r="Z9" s="71">
        <f>SUM(P9:Y9)</f>
        <v>0.0</v>
      </c>
    </row>
    <row r="10" ht="26" customHeight="1">
      <c r="B10" s="45" t="n">
        <v>7</v>
      </c>
      <c r="C10" s="70">
        <f>COUNTIFS(am_g,7,am_o,1,am_ipr,"&gt;0")</f>
        <v>0.0</v>
      </c>
      <c r="D10" s="70">
        <f>COUNTIFS(am_g,7,am_o,2,am_ipr,"&gt;0")</f>
        <v>0.0</v>
      </c>
      <c r="E10" s="70">
        <f>COUNTIFS(am_g,7,am_o,3,am_ipr,"&gt;0")</f>
        <v>0.0</v>
      </c>
      <c r="F10" s="70">
        <f>COUNTIFS(am_g,7,am_o,4,am_ipr,"&gt;0")</f>
        <v>0.0</v>
      </c>
      <c r="G10" s="70">
        <f>COUNTIFS(am_g,7,am_o,5,am_ipr,"&gt;0")</f>
        <v>0.0</v>
      </c>
      <c r="H10" s="70">
        <f>COUNTIFS(am_g,7,am_o,6,am_ipr,"&gt;0")</f>
        <v>0.0</v>
      </c>
      <c r="I10" s="70">
        <f>COUNTIFS(am_g,7,am_o,7,am_ipr,"&gt;0")</f>
        <v>0.0</v>
      </c>
      <c r="J10" s="70">
        <f>COUNTIFS(am_g,7,am_o,8,am_ipr,"&gt;0")</f>
        <v>0.0</v>
      </c>
      <c r="K10" s="70">
        <f>COUNTIFS(am_g,7,am_o,9,am_ipr,"&gt;0")</f>
        <v>0.0</v>
      </c>
      <c r="L10" s="70">
        <f>COUNTIFS(am_g,7,am_o,10,am_ipr,"&gt;0")</f>
        <v>0.0</v>
      </c>
      <c r="M10" s="71">
        <f>SUM(C10:L10)</f>
        <v>0.0</v>
      </c>
      <c r="O10" s="45" t="n">
        <v>7</v>
      </c>
      <c r="P10" s="70">
        <f>COUNTIFS(am_cg,7,am_co,1)</f>
        <v>0.0</v>
      </c>
      <c r="Q10" s="70">
        <f>COUNTIFS(am_cg,7,am_co,2)</f>
        <v>0.0</v>
      </c>
      <c r="R10" s="70">
        <f>COUNTIFS(am_cg,7,am_co,3)</f>
        <v>0.0</v>
      </c>
      <c r="S10" s="70">
        <f>COUNTIFS(am_cg,7,am_co,4)</f>
        <v>0.0</v>
      </c>
      <c r="T10" s="70">
        <f>COUNTIFS(am_cg,7,am_co,5)</f>
        <v>0.0</v>
      </c>
      <c r="U10" s="70">
        <f>COUNTIFS(am_cg,7,am_co,6)</f>
        <v>0.0</v>
      </c>
      <c r="V10" s="70">
        <f>COUNTIFS(am_cg,7,am_co,7)</f>
        <v>0.0</v>
      </c>
      <c r="W10" s="70">
        <f>COUNTIFS(am_cg,7,am_co,8)</f>
        <v>0.0</v>
      </c>
      <c r="X10" s="70">
        <f>COUNTIFS(am_cg,7,am_co,9)</f>
        <v>0.0</v>
      </c>
      <c r="Y10" s="70">
        <f>COUNTIFS(am_cg,7,am_co,10)</f>
        <v>0.0</v>
      </c>
      <c r="Z10" s="71">
        <f>SUM(P10:Y10)</f>
        <v>0.0</v>
      </c>
    </row>
    <row r="11" ht="26" customHeight="1">
      <c r="B11" s="45" t="n">
        <v>6</v>
      </c>
      <c r="C11" s="70">
        <f>COUNTIFS(am_g,6,am_o,1,am_ipr,"&gt;0")</f>
        <v>0.0</v>
      </c>
      <c r="D11" s="70">
        <f>COUNTIFS(am_g,6,am_o,2,am_ipr,"&gt;0")</f>
        <v>0.0</v>
      </c>
      <c r="E11" s="70">
        <f>COUNTIFS(am_g,6,am_o,3,am_ipr,"&gt;0")</f>
        <v>0.0</v>
      </c>
      <c r="F11" s="70">
        <f>COUNTIFS(am_g,6,am_o,4,am_ipr,"&gt;0")</f>
        <v>0.0</v>
      </c>
      <c r="G11" s="70">
        <f>COUNTIFS(am_g,6,am_o,5,am_ipr,"&gt;0")</f>
        <v>0.0</v>
      </c>
      <c r="H11" s="70">
        <f>COUNTIFS(am_g,6,am_o,6,am_ipr,"&gt;0")</f>
        <v>0.0</v>
      </c>
      <c r="I11" s="70">
        <f>COUNTIFS(am_g,6,am_o,7,am_ipr,"&gt;0")</f>
        <v>0.0</v>
      </c>
      <c r="J11" s="70">
        <f>COUNTIFS(am_g,6,am_o,8,am_ipr,"&gt;0")</f>
        <v>0.0</v>
      </c>
      <c r="K11" s="70">
        <f>COUNTIFS(am_g,6,am_o,9,am_ipr,"&gt;0")</f>
        <v>0.0</v>
      </c>
      <c r="L11" s="70">
        <f>COUNTIFS(am_g,6,am_o,10,am_ipr,"&gt;0")</f>
        <v>0.0</v>
      </c>
      <c r="M11" s="71">
        <f>SUM(C11:L11)</f>
        <v>0.0</v>
      </c>
      <c r="O11" s="45" t="n">
        <v>6</v>
      </c>
      <c r="P11" s="70">
        <f>COUNTIFS(am_cg,6,am_co,1)</f>
        <v>0.0</v>
      </c>
      <c r="Q11" s="70">
        <f>COUNTIFS(am_cg,6,am_co,2)</f>
        <v>0.0</v>
      </c>
      <c r="R11" s="70">
        <f>COUNTIFS(am_cg,6,am_co,3)</f>
        <v>0.0</v>
      </c>
      <c r="S11" s="70">
        <f>COUNTIFS(am_cg,6,am_co,4)</f>
        <v>0.0</v>
      </c>
      <c r="T11" s="70">
        <f>COUNTIFS(am_cg,6,am_co,5)</f>
        <v>0.0</v>
      </c>
      <c r="U11" s="70">
        <f>COUNTIFS(am_cg,6,am_co,6)</f>
        <v>0.0</v>
      </c>
      <c r="V11" s="70">
        <f>COUNTIFS(am_cg,6,am_co,7)</f>
        <v>0.0</v>
      </c>
      <c r="W11" s="70">
        <f>COUNTIFS(am_cg,6,am_co,8)</f>
        <v>0.0</v>
      </c>
      <c r="X11" s="70">
        <f>COUNTIFS(am_cg,6,am_co,9)</f>
        <v>0.0</v>
      </c>
      <c r="Y11" s="70">
        <f>COUNTIFS(am_cg,6,am_co,10)</f>
        <v>0.0</v>
      </c>
      <c r="Z11" s="71">
        <f>SUM(P11:Y11)</f>
        <v>0.0</v>
      </c>
    </row>
    <row r="12" ht="26" customHeight="1">
      <c r="B12" s="45" t="n">
        <v>5</v>
      </c>
      <c r="C12" s="70">
        <f>COUNTIFS(am_g,5,am_o,1,am_ipr,"&gt;0")</f>
        <v>0.0</v>
      </c>
      <c r="D12" s="70">
        <f>COUNTIFS(am_g,5,am_o,2,am_ipr,"&gt;0")</f>
        <v>0.0</v>
      </c>
      <c r="E12" s="70">
        <f>COUNTIFS(am_g,5,am_o,3,am_ipr,"&gt;0")</f>
        <v>0.0</v>
      </c>
      <c r="F12" s="70">
        <f>COUNTIFS(am_g,5,am_o,4,am_ipr,"&gt;0")</f>
        <v>0.0</v>
      </c>
      <c r="G12" s="70">
        <f>COUNTIFS(am_g,5,am_o,5,am_ipr,"&gt;0")</f>
        <v>0.0</v>
      </c>
      <c r="H12" s="70">
        <f>COUNTIFS(am_g,5,am_o,6,am_ipr,"&gt;0")</f>
        <v>0.0</v>
      </c>
      <c r="I12" s="70">
        <f>COUNTIFS(am_g,5,am_o,7,am_ipr,"&gt;0")</f>
        <v>0.0</v>
      </c>
      <c r="J12" s="70">
        <f>COUNTIFS(am_g,5,am_o,8,am_ipr,"&gt;0")</f>
        <v>0.0</v>
      </c>
      <c r="K12" s="70">
        <f>COUNTIFS(am_g,5,am_o,9,am_ipr,"&gt;0")</f>
        <v>0.0</v>
      </c>
      <c r="L12" s="70">
        <f>COUNTIFS(am_g,5,am_o,10,am_ipr,"&gt;0")</f>
        <v>0.0</v>
      </c>
      <c r="M12" s="71">
        <f>SUM(C12:L12)</f>
        <v>0.0</v>
      </c>
      <c r="O12" s="45" t="n">
        <v>5</v>
      </c>
      <c r="P12" s="70">
        <f>COUNTIFS(am_cg,5,am_co,1)</f>
        <v>0.0</v>
      </c>
      <c r="Q12" s="70">
        <f>COUNTIFS(am_cg,5,am_co,2)</f>
        <v>0.0</v>
      </c>
      <c r="R12" s="70">
        <f>COUNTIFS(am_cg,5,am_co,3)</f>
        <v>0.0</v>
      </c>
      <c r="S12" s="70">
        <f>COUNTIFS(am_cg,5,am_co,4)</f>
        <v>0.0</v>
      </c>
      <c r="T12" s="70">
        <f>COUNTIFS(am_cg,5,am_co,5)</f>
        <v>0.0</v>
      </c>
      <c r="U12" s="70">
        <f>COUNTIFS(am_cg,5,am_co,6)</f>
        <v>0.0</v>
      </c>
      <c r="V12" s="70">
        <f>COUNTIFS(am_cg,5,am_co,7)</f>
        <v>0.0</v>
      </c>
      <c r="W12" s="70">
        <f>COUNTIFS(am_cg,5,am_co,8)</f>
        <v>0.0</v>
      </c>
      <c r="X12" s="70">
        <f>COUNTIFS(am_cg,5,am_co,9)</f>
        <v>0.0</v>
      </c>
      <c r="Y12" s="70">
        <f>COUNTIFS(am_cg,5,am_co,10)</f>
        <v>0.0</v>
      </c>
      <c r="Z12" s="71">
        <f>SUM(P12:Y12)</f>
        <v>0.0</v>
      </c>
    </row>
    <row r="13" ht="26" customHeight="1">
      <c r="B13" s="45" t="n">
        <v>4</v>
      </c>
      <c r="C13" s="70">
        <f>COUNTIFS(am_g,4,am_o,1,am_ipr,"&gt;0")</f>
        <v>0.0</v>
      </c>
      <c r="D13" s="70">
        <f>COUNTIFS(am_g,4,am_o,2,am_ipr,"&gt;0")</f>
        <v>0.0</v>
      </c>
      <c r="E13" s="70">
        <f>COUNTIFS(am_g,4,am_o,3,am_ipr,"&gt;0")</f>
        <v>0.0</v>
      </c>
      <c r="F13" s="70">
        <f>COUNTIFS(am_g,4,am_o,4,am_ipr,"&gt;0")</f>
        <v>0.0</v>
      </c>
      <c r="G13" s="70">
        <f>COUNTIFS(am_g,4,am_o,5,am_ipr,"&gt;0")</f>
        <v>0.0</v>
      </c>
      <c r="H13" s="70">
        <f>COUNTIFS(am_g,4,am_o,6,am_ipr,"&gt;0")</f>
        <v>0.0</v>
      </c>
      <c r="I13" s="70">
        <f>COUNTIFS(am_g,4,am_o,7,am_ipr,"&gt;0")</f>
        <v>0.0</v>
      </c>
      <c r="J13" s="70">
        <f>COUNTIFS(am_g,4,am_o,8,am_ipr,"&gt;0")</f>
        <v>0.0</v>
      </c>
      <c r="K13" s="70">
        <f>COUNTIFS(am_g,4,am_o,9,am_ipr,"&gt;0")</f>
        <v>0.0</v>
      </c>
      <c r="L13" s="70">
        <f>COUNTIFS(am_g,4,am_o,10,am_ipr,"&gt;0")</f>
        <v>0.0</v>
      </c>
      <c r="M13" s="71">
        <f>SUM(C13:L13)</f>
        <v>0.0</v>
      </c>
      <c r="O13" s="45" t="n">
        <v>4</v>
      </c>
      <c r="P13" s="70">
        <f>COUNTIFS(am_cg,4,am_co,1)</f>
        <v>0.0</v>
      </c>
      <c r="Q13" s="70">
        <f>COUNTIFS(am_cg,4,am_co,2)</f>
        <v>0.0</v>
      </c>
      <c r="R13" s="70">
        <f>COUNTIFS(am_cg,4,am_co,3)</f>
        <v>0.0</v>
      </c>
      <c r="S13" s="70">
        <f>COUNTIFS(am_cg,4,am_co,4)</f>
        <v>0.0</v>
      </c>
      <c r="T13" s="70">
        <f>COUNTIFS(am_cg,4,am_co,5)</f>
        <v>0.0</v>
      </c>
      <c r="U13" s="70">
        <f>COUNTIFS(am_cg,4,am_co,6)</f>
        <v>0.0</v>
      </c>
      <c r="V13" s="70">
        <f>COUNTIFS(am_cg,4,am_co,7)</f>
        <v>0.0</v>
      </c>
      <c r="W13" s="70">
        <f>COUNTIFS(am_cg,4,am_co,8)</f>
        <v>0.0</v>
      </c>
      <c r="X13" s="70">
        <f>COUNTIFS(am_cg,4,am_co,9)</f>
        <v>0.0</v>
      </c>
      <c r="Y13" s="70">
        <f>COUNTIFS(am_cg,4,am_co,10)</f>
        <v>0.0</v>
      </c>
      <c r="Z13" s="71">
        <f>SUM(P13:Y13)</f>
        <v>0.0</v>
      </c>
    </row>
    <row r="14" ht="26" customHeight="1">
      <c r="B14" s="45" t="n">
        <v>3</v>
      </c>
      <c r="C14" s="70">
        <f>COUNTIFS(am_g,3,am_o,1,am_ipr,"&gt;0")</f>
        <v>0.0</v>
      </c>
      <c r="D14" s="70">
        <f>COUNTIFS(am_g,3,am_o,2,am_ipr,"&gt;0")</f>
        <v>0.0</v>
      </c>
      <c r="E14" s="70">
        <f>COUNTIFS(am_g,3,am_o,3,am_ipr,"&gt;0")</f>
        <v>0.0</v>
      </c>
      <c r="F14" s="70">
        <f>COUNTIFS(am_g,3,am_o,4,am_ipr,"&gt;0")</f>
        <v>0.0</v>
      </c>
      <c r="G14" s="70">
        <f>COUNTIFS(am_g,3,am_o,5,am_ipr,"&gt;0")</f>
        <v>0.0</v>
      </c>
      <c r="H14" s="70">
        <f>COUNTIFS(am_g,3,am_o,6,am_ipr,"&gt;0")</f>
        <v>0.0</v>
      </c>
      <c r="I14" s="70">
        <f>COUNTIFS(am_g,3,am_o,7,am_ipr,"&gt;0")</f>
        <v>0.0</v>
      </c>
      <c r="J14" s="70">
        <f>COUNTIFS(am_g,3,am_o,8,am_ipr,"&gt;0")</f>
        <v>0.0</v>
      </c>
      <c r="K14" s="70">
        <f>COUNTIFS(am_g,3,am_o,9,am_ipr,"&gt;0")</f>
        <v>0.0</v>
      </c>
      <c r="L14" s="70">
        <f>COUNTIFS(am_g,3,am_o,10,am_ipr,"&gt;0")</f>
        <v>0.0</v>
      </c>
      <c r="M14" s="71">
        <f>SUM(C14:L14)</f>
        <v>0.0</v>
      </c>
      <c r="O14" s="45" t="n">
        <v>3</v>
      </c>
      <c r="P14" s="70">
        <f>COUNTIFS(am_cg,3,am_co,1)</f>
        <v>0.0</v>
      </c>
      <c r="Q14" s="70">
        <f>COUNTIFS(am_cg,3,am_co,2)</f>
        <v>0.0</v>
      </c>
      <c r="R14" s="70">
        <f>COUNTIFS(am_cg,3,am_co,3)</f>
        <v>0.0</v>
      </c>
      <c r="S14" s="70">
        <f>COUNTIFS(am_cg,3,am_co,4)</f>
        <v>0.0</v>
      </c>
      <c r="T14" s="70">
        <f>COUNTIFS(am_cg,3,am_co,5)</f>
        <v>0.0</v>
      </c>
      <c r="U14" s="70">
        <f>COUNTIFS(am_cg,3,am_co,6)</f>
        <v>0.0</v>
      </c>
      <c r="V14" s="70">
        <f>COUNTIFS(am_cg,3,am_co,7)</f>
        <v>0.0</v>
      </c>
      <c r="W14" s="70">
        <f>COUNTIFS(am_cg,3,am_co,8)</f>
        <v>0.0</v>
      </c>
      <c r="X14" s="70">
        <f>COUNTIFS(am_cg,3,am_co,9)</f>
        <v>0.0</v>
      </c>
      <c r="Y14" s="70">
        <f>COUNTIFS(am_cg,3,am_co,10)</f>
        <v>0.0</v>
      </c>
      <c r="Z14" s="71">
        <f>SUM(P14:Y14)</f>
        <v>0.0</v>
      </c>
    </row>
    <row r="15" ht="26" customHeight="1">
      <c r="B15" s="45" t="n">
        <v>2</v>
      </c>
      <c r="C15" s="70">
        <f>COUNTIFS(am_g,2,am_o,1,am_ipr,"&gt;0")</f>
        <v>0.0</v>
      </c>
      <c r="D15" s="70">
        <f>COUNTIFS(am_g,2,am_o,2,am_ipr,"&gt;0")</f>
        <v>0.0</v>
      </c>
      <c r="E15" s="70">
        <f>COUNTIFS(am_g,2,am_o,3,am_ipr,"&gt;0")</f>
        <v>0.0</v>
      </c>
      <c r="F15" s="70">
        <f>COUNTIFS(am_g,2,am_o,4,am_ipr,"&gt;0")</f>
        <v>0.0</v>
      </c>
      <c r="G15" s="70">
        <f>COUNTIFS(am_g,2,am_o,5,am_ipr,"&gt;0")</f>
        <v>0.0</v>
      </c>
      <c r="H15" s="70">
        <f>COUNTIFS(am_g,2,am_o,6,am_ipr,"&gt;0")</f>
        <v>0.0</v>
      </c>
      <c r="I15" s="70">
        <f>COUNTIFS(am_g,2,am_o,7,am_ipr,"&gt;0")</f>
        <v>0.0</v>
      </c>
      <c r="J15" s="70">
        <f>COUNTIFS(am_g,2,am_o,8,am_ipr,"&gt;0")</f>
        <v>0.0</v>
      </c>
      <c r="K15" s="70">
        <f>COUNTIFS(am_g,2,am_o,9,am_ipr,"&gt;0")</f>
        <v>0.0</v>
      </c>
      <c r="L15" s="70">
        <f>COUNTIFS(am_g,2,am_o,10,am_ipr,"&gt;0")</f>
        <v>0.0</v>
      </c>
      <c r="M15" s="71">
        <f>SUM(C15:L15)</f>
        <v>0.0</v>
      </c>
      <c r="O15" s="45" t="n">
        <v>2</v>
      </c>
      <c r="P15" s="70">
        <f>COUNTIFS(am_cg,2,am_co,1)</f>
        <v>0.0</v>
      </c>
      <c r="Q15" s="70">
        <f>COUNTIFS(am_cg,2,am_co,2)</f>
        <v>0.0</v>
      </c>
      <c r="R15" s="70">
        <f>COUNTIFS(am_cg,2,am_co,3)</f>
        <v>0.0</v>
      </c>
      <c r="S15" s="70">
        <f>COUNTIFS(am_cg,2,am_co,4)</f>
        <v>0.0</v>
      </c>
      <c r="T15" s="70">
        <f>COUNTIFS(am_cg,2,am_co,5)</f>
        <v>0.0</v>
      </c>
      <c r="U15" s="70">
        <f>COUNTIFS(am_cg,2,am_co,6)</f>
        <v>0.0</v>
      </c>
      <c r="V15" s="70">
        <f>COUNTIFS(am_cg,2,am_co,7)</f>
        <v>0.0</v>
      </c>
      <c r="W15" s="70">
        <f>COUNTIFS(am_cg,2,am_co,8)</f>
        <v>0.0</v>
      </c>
      <c r="X15" s="70">
        <f>COUNTIFS(am_cg,2,am_co,9)</f>
        <v>0.0</v>
      </c>
      <c r="Y15" s="70">
        <f>COUNTIFS(am_cg,2,am_co,10)</f>
        <v>0.0</v>
      </c>
      <c r="Z15" s="71">
        <f>SUM(P15:Y15)</f>
        <v>0.0</v>
      </c>
    </row>
    <row r="16" ht="26" customHeight="1">
      <c r="B16" s="45" t="n">
        <v>1</v>
      </c>
      <c r="C16" s="70">
        <f>COUNTIFS(am_g,1,am_o,1,am_ipr,"&gt;0")</f>
        <v>0.0</v>
      </c>
      <c r="D16" s="70">
        <f>COUNTIFS(am_g,1,am_o,2,am_ipr,"&gt;0")</f>
        <v>0.0</v>
      </c>
      <c r="E16" s="70">
        <f>COUNTIFS(am_g,1,am_o,3,am_ipr,"&gt;0")</f>
        <v>0.0</v>
      </c>
      <c r="F16" s="70">
        <f>COUNTIFS(am_g,1,am_o,4,am_ipr,"&gt;0")</f>
        <v>0.0</v>
      </c>
      <c r="G16" s="70">
        <f>COUNTIFS(am_g,1,am_o,5,am_ipr,"&gt;0")</f>
        <v>0.0</v>
      </c>
      <c r="H16" s="70">
        <f>COUNTIFS(am_g,1,am_o,6,am_ipr,"&gt;0")</f>
        <v>0.0</v>
      </c>
      <c r="I16" s="70">
        <f>COUNTIFS(am_g,1,am_o,7,am_ipr,"&gt;0")</f>
        <v>0.0</v>
      </c>
      <c r="J16" s="70">
        <f>COUNTIFS(am_g,1,am_o,8,am_ipr,"&gt;0")</f>
        <v>0.0</v>
      </c>
      <c r="K16" s="70">
        <f>COUNTIFS(am_g,1,am_o,9,am_ipr,"&gt;0")</f>
        <v>0.0</v>
      </c>
      <c r="L16" s="70">
        <f>COUNTIFS(am_g,1,am_o,10,am_ipr,"&gt;0")</f>
        <v>0.0</v>
      </c>
      <c r="M16" s="71">
        <f>SUM(C16:L16)</f>
        <v>0.0</v>
      </c>
      <c r="O16" s="45" t="n">
        <v>1</v>
      </c>
      <c r="P16" s="70">
        <f>COUNTIFS(am_cg,1,am_co,1)</f>
        <v>0.0</v>
      </c>
      <c r="Q16" s="70">
        <f>COUNTIFS(am_cg,1,am_co,2)</f>
        <v>0.0</v>
      </c>
      <c r="R16" s="70">
        <f>COUNTIFS(am_cg,1,am_co,3)</f>
        <v>0.0</v>
      </c>
      <c r="S16" s="70">
        <f>COUNTIFS(am_cg,1,am_co,4)</f>
        <v>0.0</v>
      </c>
      <c r="T16" s="70">
        <f>COUNTIFS(am_cg,1,am_co,5)</f>
        <v>0.0</v>
      </c>
      <c r="U16" s="70">
        <f>COUNTIFS(am_cg,1,am_co,6)</f>
        <v>0.0</v>
      </c>
      <c r="V16" s="70">
        <f>COUNTIFS(am_cg,1,am_co,7)</f>
        <v>0.0</v>
      </c>
      <c r="W16" s="70">
        <f>COUNTIFS(am_cg,1,am_co,8)</f>
        <v>0.0</v>
      </c>
      <c r="X16" s="70">
        <f>COUNTIFS(am_cg,1,am_co,9)</f>
        <v>0.0</v>
      </c>
      <c r="Y16" s="70">
        <f>COUNTIFS(am_cg,1,am_co,10)</f>
        <v>0.0</v>
      </c>
      <c r="Z16" s="71">
        <f>SUM(P16:Y16)</f>
        <v>0.0</v>
      </c>
    </row>
    <row r="17">
      <c r="B17" s="72" t="inlineStr">
        <is>
          <t>Total</t>
        </is>
      </c>
      <c r="C17" s="73">
        <f>SUM(C7:C16)</f>
        <v>0.0</v>
      </c>
      <c r="D17" s="73">
        <f>SUM(D7:D16)</f>
        <v>0.0</v>
      </c>
      <c r="E17" s="73">
        <f>SUM(E7:E16)</f>
        <v>0.0</v>
      </c>
      <c r="F17" s="73">
        <f>SUM(F7:F16)</f>
        <v>0.0</v>
      </c>
      <c r="G17" s="73">
        <f>SUM(G7:G16)</f>
        <v>0.0</v>
      </c>
      <c r="H17" s="73">
        <f>SUM(H7:H16)</f>
        <v>0.0</v>
      </c>
      <c r="I17" s="73">
        <f>SUM(I7:I16)</f>
        <v>0.0</v>
      </c>
      <c r="J17" s="73">
        <f>SUM(J7:J16)</f>
        <v>0.0</v>
      </c>
      <c r="K17" s="73">
        <f>SUM(K7:K16)</f>
        <v>0.0</v>
      </c>
      <c r="L17" s="73">
        <f>SUM(L7:L16)</f>
        <v>0.0</v>
      </c>
      <c r="M17" s="73">
        <f>SUM(M7:M16)</f>
        <v>0.0</v>
      </c>
      <c r="O17" s="72" t="inlineStr">
        <is>
          <t>Total</t>
        </is>
      </c>
      <c r="P17" s="73">
        <f>SUM(P7:P16)</f>
        <v>0.0</v>
      </c>
      <c r="Q17" s="73">
        <f>SUM(Q7:Q16)</f>
        <v>0.0</v>
      </c>
      <c r="R17" s="73">
        <f>SUM(R7:R16)</f>
        <v>0.0</v>
      </c>
      <c r="S17" s="73">
        <f>SUM(S7:S16)</f>
        <v>0.0</v>
      </c>
      <c r="T17" s="73">
        <f>SUM(T7:T16)</f>
        <v>0.0</v>
      </c>
      <c r="U17" s="73">
        <f>SUM(U7:U16)</f>
        <v>0.0</v>
      </c>
      <c r="V17" s="73">
        <f>SUM(V7:V16)</f>
        <v>0.0</v>
      </c>
      <c r="W17" s="73">
        <f>SUM(W7:W16)</f>
        <v>0.0</v>
      </c>
      <c r="X17" s="73">
        <f>SUM(X7:X16)</f>
        <v>0.0</v>
      </c>
      <c r="Y17" s="73">
        <f>SUM(Y7:Y16)</f>
        <v>0.0</v>
      </c>
      <c r="Z17" s="73">
        <f>SUM(Z7:Z16)</f>
        <v>0.0</v>
      </c>
    </row>
    <row r="19">
      <c r="B19" s="38" t="inlineStr">
        <is>
          <t>Gravité en lignes (10 en haut), occurrence en colonnes.</t>
        </is>
      </c>
      <c r="O19" s="38" t="inlineStr">
        <is>
          <t>Gravité en lignes (10 en haut), occurrence en colonnes.</t>
        </is>
      </c>
    </row>
    <row r="21">
      <c r="B21" s="74" t="inlineStr">
        <is>
          <t>Zone rouge</t>
        </is>
      </c>
      <c r="C21" s="75" t="str">
        <f>"G égale ou supérieure à "&amp;p_gmin&amp;", ou G x O égal ou supérieur à "&amp;p_go_red</f>
        <v>G égale ou supérieure à 9, ou G x O égal ou supérieur à 40</v>
      </c>
    </row>
    <row r="22">
      <c r="B22" s="76" t="inlineStr">
        <is>
          <t>Zone orange</t>
        </is>
      </c>
      <c r="C22" s="75" t="str">
        <f>"G x O de "&amp;p_go_orange&amp;" à "&amp;(p_go_red-1)</f>
        <v>G x O de 20 à 39</v>
      </c>
    </row>
    <row r="23">
      <c r="B23" s="77" t="inlineStr">
        <is>
          <t>Zone verte</t>
        </is>
      </c>
      <c r="C23" s="75" t="str">
        <f>"G x O inférieur à "&amp;p_go_orange</f>
        <v>G x O inférieur à 20</v>
      </c>
    </row>
    <row r="25" ht="30" customHeight="1">
      <c r="B25" s="78" t="inlineStr">
        <is>
          <t>La matrice montre où se concentrent les risques sans passer par l'IPR. Un mode en zone rouge à faible IPR (bien détecté) reste à surveiller : la détection protège le client, pas l'atelier, qui continue à produire des rebuts.</t>
        </is>
      </c>
    </row>
    <row r="26"/>
  </sheetData>
  <mergeCells count="1">
    <mergeCell ref="B25:Z26"/>
  </mergeCells>
  <conditionalFormatting sqref="C7:L16">
    <cfRule type="expression" priority="1" dxfId="17" stopIfTrue="1">
      <formula>OR($B7&gt;=p_gmin,$B7*C$6&gt;=p_go_red)</formula>
    </cfRule>
    <cfRule type="expression" priority="2" dxfId="18" stopIfTrue="1">
      <formula>$B7*C$6&gt;=p_go_orange</formula>
    </cfRule>
    <cfRule type="expression" priority="3" dxfId="19">
      <formula>TRUE</formula>
    </cfRule>
  </conditionalFormatting>
  <conditionalFormatting sqref="P7:Y16">
    <cfRule type="expression" priority="4" dxfId="17" stopIfTrue="1">
      <formula>OR($O7&gt;=p_gmin,$O7*P$6&gt;=p_go_red)</formula>
    </cfRule>
    <cfRule type="expression" priority="5" dxfId="18" stopIfTrue="1">
      <formula>$O7*P$6&gt;=p_go_orange</formula>
    </cfRule>
    <cfRule type="expression" priority="6" dxfId="19">
      <formula>TRUE</formula>
    </cfRule>
  </conditionalFormatting>
  <hyperlinks>
    <hyperlink ref="Z1" location="'Mode d''emploi'!A1"/>
  </hyperlinks>
  <printOptions horizontalCentered="1"/>
  <pageMargins left="0.4" right="0.4" top="0.5" bottom="0.5" header="0.5" footer="0.5"/>
  <pageSetup orientation="landscape" paperSize="9" fitToHeight="0" fitToWidth="1"/>
</worksheet>
</file>

<file path=xl/worksheets/sheet6.xml><?xml version="1.0" encoding="utf-8"?>
<worksheet xmlns="http://schemas.openxmlformats.org/spreadsheetml/2006/main">
  <sheetPr>
    <tabColor rgb="FFB91C1C"/>
    <outlinePr summaryBelow="1" summaryRight="1"/>
    <pageSetUpPr fitToPage="1"/>
  </sheetPr>
  <dimension ref="A1:L26"/>
  <sheetViews>
    <sheetView showGridLines="0" tabSelected="0" zoomScale="100" workbookViewId="0">
      <pane ySplit="6" topLeftCell="A7" activePane="bottomLeft" state="frozen"/>
      <selection pane="bottomLeft" activeCell="A1" sqref="A1"/>
    </sheetView>
  </sheetViews>
  <sheetFormatPr baseColWidth="8" defaultRowHeight="15"/>
  <cols>
    <col width="6" customWidth="1" min="1" max="1"/>
    <col width="9" customWidth="1" min="2" max="2"/>
    <col width="16" customWidth="1" min="3" max="3"/>
    <col width="30" customWidth="1" min="4" max="4"/>
    <col width="5" customWidth="1" min="5" max="5"/>
    <col width="5" customWidth="1" min="6" max="6"/>
    <col width="5" customWidth="1" min="7" max="7"/>
    <col width="8" customWidth="1" min="8" max="8"/>
    <col width="10" customWidth="1" min="9" max="9"/>
    <col width="9" customWidth="1" min="10" max="10"/>
    <col width="11" customWidth="1" min="11" max="11"/>
    <col hidden="1" width="6" customWidth="1" min="12" max="12"/>
  </cols>
  <sheetData>
    <row r="1" ht="38" customHeight="1">
      <c r="A1" s="1" t="n"/>
      <c r="B1" s="2" t="inlineStr">
        <is>
          <t>Pareto des IPR</t>
        </is>
      </c>
      <c r="C1" s="1" t="n"/>
      <c r="D1" s="1" t="n"/>
      <c r="E1" s="1" t="n"/>
      <c r="F1" s="1" t="n"/>
      <c r="G1" s="1" t="n"/>
      <c r="H1" s="1" t="n"/>
      <c r="I1" s="1" t="n"/>
      <c r="J1" s="1" t="n"/>
      <c r="K1" s="18" t="inlineStr">
        <is>
          <t>⌂ Mode d'emploi</t>
        </is>
      </c>
    </row>
    <row r="2" ht="22" customHeight="1">
      <c r="A2" s="3" t="n"/>
      <c r="B2" s="4" t="inlineStr">
        <is>
          <t>Les 20 modes au plus fort IPR initial, et la part de l'IPR total qu'ils représentent à eux seuls.</t>
        </is>
      </c>
      <c r="C2" s="3" t="n"/>
      <c r="D2" s="3" t="n"/>
      <c r="E2" s="3" t="n"/>
      <c r="F2" s="3" t="n"/>
      <c r="G2" s="3" t="n"/>
      <c r="H2" s="3" t="n"/>
      <c r="I2" s="3" t="n"/>
      <c r="J2" s="3" t="n"/>
      <c r="K2" s="3" t="n"/>
    </row>
    <row r="3" ht="18" customHeight="1"/>
    <row r="4">
      <c r="B4" s="79" t="str">
        <f>"IPR total de l'analyse : "&amp;SUM(am_ipr)&amp;" sur "&amp;COUNT(am_ipr)&amp;" modes cotés."</f>
        <v>IPR total de l'analyse : 0 sur 0 modes cotés.</v>
      </c>
    </row>
    <row r="6" ht="34" customHeight="1">
      <c r="A6" s="39" t="inlineStr">
        <is>
          <t>Rang</t>
        </is>
      </c>
      <c r="B6" s="39" t="inlineStr">
        <is>
          <t>N°</t>
        </is>
      </c>
      <c r="C6" s="39" t="inlineStr">
        <is>
          <t>Étape</t>
        </is>
      </c>
      <c r="D6" s="39" t="inlineStr">
        <is>
          <t>Mode de défaillance</t>
        </is>
      </c>
      <c r="E6" s="39" t="inlineStr">
        <is>
          <t>G</t>
        </is>
      </c>
      <c r="F6" s="39" t="inlineStr">
        <is>
          <t>O</t>
        </is>
      </c>
      <c r="G6" s="39" t="inlineStr">
        <is>
          <t>D</t>
        </is>
      </c>
      <c r="H6" s="39" t="inlineStr">
        <is>
          <t>IPR</t>
        </is>
      </c>
      <c r="I6" s="39" t="inlineStr">
        <is>
          <t>Criticité</t>
        </is>
      </c>
      <c r="J6" s="39" t="inlineStr">
        <is>
          <t>IPR actuel</t>
        </is>
      </c>
      <c r="K6" s="39" t="inlineStr">
        <is>
          <t>% cumulé</t>
        </is>
      </c>
      <c r="L6" s="39" t="inlineStr">
        <is>
          <t>Ligne</t>
        </is>
      </c>
    </row>
    <row r="7" ht="28" customHeight="1">
      <c r="A7" s="65" t="str">
        <f>IF(L7="","",1)</f>
        <v/>
      </c>
      <c r="B7" s="66" t="str">
        <f>IF(L7="","",INDEX(am_num,L7)&amp;"")</f>
        <v/>
      </c>
      <c r="C7" s="67" t="str">
        <f>IF(L7="","",INDEX(am_step,L7)&amp;"")</f>
        <v/>
      </c>
      <c r="D7" s="67" t="str">
        <f>IF(L7="","",INDEX(am_mode,L7)&amp;"")</f>
        <v/>
      </c>
      <c r="E7" s="65" t="str">
        <f>IF(L7="","",INDEX(am_g,L7))</f>
        <v/>
      </c>
      <c r="F7" s="65" t="str">
        <f>IF(L7="","",INDEX(am_o,L7))</f>
        <v/>
      </c>
      <c r="G7" s="65" t="str">
        <f>IF(L7="","",INDEX(am_d,L7))</f>
        <v/>
      </c>
      <c r="H7" s="65" t="str">
        <f>IF(L7="","",INDEX(am_ipr,L7))</f>
        <v/>
      </c>
      <c r="I7" s="65" t="str">
        <f>IF(L7="","",INDEX(am_crit,L7)&amp;"")</f>
        <v/>
      </c>
      <c r="J7" s="65" t="str">
        <f>IF(L7="","",INDEX(am_cipr,L7))</f>
        <v/>
      </c>
      <c r="K7" s="80" t="str">
        <f>IF(L7="","",SUM(H$7:H7)/SUM(am_ipr))</f>
        <v/>
      </c>
      <c r="L7" s="65" t="str">
        <f>IFERROR(MATCH(LARGE(am_parkey,1),am_parkey,0),"")</f>
        <v/>
      </c>
    </row>
    <row r="8" ht="28" customHeight="1">
      <c r="A8" s="65" t="str">
        <f>IF(L8="","",2)</f>
        <v/>
      </c>
      <c r="B8" s="66" t="str">
        <f>IF(L8="","",INDEX(am_num,L8)&amp;"")</f>
        <v/>
      </c>
      <c r="C8" s="67" t="str">
        <f>IF(L8="","",INDEX(am_step,L8)&amp;"")</f>
        <v/>
      </c>
      <c r="D8" s="67" t="str">
        <f>IF(L8="","",INDEX(am_mode,L8)&amp;"")</f>
        <v/>
      </c>
      <c r="E8" s="65" t="str">
        <f>IF(L8="","",INDEX(am_g,L8))</f>
        <v/>
      </c>
      <c r="F8" s="65" t="str">
        <f>IF(L8="","",INDEX(am_o,L8))</f>
        <v/>
      </c>
      <c r="G8" s="65" t="str">
        <f>IF(L8="","",INDEX(am_d,L8))</f>
        <v/>
      </c>
      <c r="H8" s="65" t="str">
        <f>IF(L8="","",INDEX(am_ipr,L8))</f>
        <v/>
      </c>
      <c r="I8" s="65" t="str">
        <f>IF(L8="","",INDEX(am_crit,L8)&amp;"")</f>
        <v/>
      </c>
      <c r="J8" s="65" t="str">
        <f>IF(L8="","",INDEX(am_cipr,L8))</f>
        <v/>
      </c>
      <c r="K8" s="80" t="str">
        <f>IF(L8="","",SUM(H$7:H8)/SUM(am_ipr))</f>
        <v/>
      </c>
      <c r="L8" s="65" t="str">
        <f>IFERROR(MATCH(LARGE(am_parkey,2),am_parkey,0),"")</f>
        <v/>
      </c>
    </row>
    <row r="9" ht="28" customHeight="1">
      <c r="A9" s="65" t="str">
        <f>IF(L9="","",3)</f>
        <v/>
      </c>
      <c r="B9" s="66" t="str">
        <f>IF(L9="","",INDEX(am_num,L9)&amp;"")</f>
        <v/>
      </c>
      <c r="C9" s="67" t="str">
        <f>IF(L9="","",INDEX(am_step,L9)&amp;"")</f>
        <v/>
      </c>
      <c r="D9" s="67" t="str">
        <f>IF(L9="","",INDEX(am_mode,L9)&amp;"")</f>
        <v/>
      </c>
      <c r="E9" s="65" t="str">
        <f>IF(L9="","",INDEX(am_g,L9))</f>
        <v/>
      </c>
      <c r="F9" s="65" t="str">
        <f>IF(L9="","",INDEX(am_o,L9))</f>
        <v/>
      </c>
      <c r="G9" s="65" t="str">
        <f>IF(L9="","",INDEX(am_d,L9))</f>
        <v/>
      </c>
      <c r="H9" s="65" t="str">
        <f>IF(L9="","",INDEX(am_ipr,L9))</f>
        <v/>
      </c>
      <c r="I9" s="65" t="str">
        <f>IF(L9="","",INDEX(am_crit,L9)&amp;"")</f>
        <v/>
      </c>
      <c r="J9" s="65" t="str">
        <f>IF(L9="","",INDEX(am_cipr,L9))</f>
        <v/>
      </c>
      <c r="K9" s="80" t="str">
        <f>IF(L9="","",SUM(H$7:H9)/SUM(am_ipr))</f>
        <v/>
      </c>
      <c r="L9" s="65" t="str">
        <f>IFERROR(MATCH(LARGE(am_parkey,3),am_parkey,0),"")</f>
        <v/>
      </c>
    </row>
    <row r="10" ht="28" customHeight="1">
      <c r="A10" s="65" t="str">
        <f>IF(L10="","",4)</f>
        <v/>
      </c>
      <c r="B10" s="66" t="str">
        <f>IF(L10="","",INDEX(am_num,L10)&amp;"")</f>
        <v/>
      </c>
      <c r="C10" s="67" t="str">
        <f>IF(L10="","",INDEX(am_step,L10)&amp;"")</f>
        <v/>
      </c>
      <c r="D10" s="67" t="str">
        <f>IF(L10="","",INDEX(am_mode,L10)&amp;"")</f>
        <v/>
      </c>
      <c r="E10" s="65" t="str">
        <f>IF(L10="","",INDEX(am_g,L10))</f>
        <v/>
      </c>
      <c r="F10" s="65" t="str">
        <f>IF(L10="","",INDEX(am_o,L10))</f>
        <v/>
      </c>
      <c r="G10" s="65" t="str">
        <f>IF(L10="","",INDEX(am_d,L10))</f>
        <v/>
      </c>
      <c r="H10" s="65" t="str">
        <f>IF(L10="","",INDEX(am_ipr,L10))</f>
        <v/>
      </c>
      <c r="I10" s="65" t="str">
        <f>IF(L10="","",INDEX(am_crit,L10)&amp;"")</f>
        <v/>
      </c>
      <c r="J10" s="65" t="str">
        <f>IF(L10="","",INDEX(am_cipr,L10))</f>
        <v/>
      </c>
      <c r="K10" s="80" t="str">
        <f>IF(L10="","",SUM(H$7:H10)/SUM(am_ipr))</f>
        <v/>
      </c>
      <c r="L10" s="65" t="str">
        <f>IFERROR(MATCH(LARGE(am_parkey,4),am_parkey,0),"")</f>
        <v/>
      </c>
    </row>
    <row r="11" ht="28" customHeight="1">
      <c r="A11" s="65" t="str">
        <f>IF(L11="","",5)</f>
        <v/>
      </c>
      <c r="B11" s="66" t="str">
        <f>IF(L11="","",INDEX(am_num,L11)&amp;"")</f>
        <v/>
      </c>
      <c r="C11" s="67" t="str">
        <f>IF(L11="","",INDEX(am_step,L11)&amp;"")</f>
        <v/>
      </c>
      <c r="D11" s="67" t="str">
        <f>IF(L11="","",INDEX(am_mode,L11)&amp;"")</f>
        <v/>
      </c>
      <c r="E11" s="65" t="str">
        <f>IF(L11="","",INDEX(am_g,L11))</f>
        <v/>
      </c>
      <c r="F11" s="65" t="str">
        <f>IF(L11="","",INDEX(am_o,L11))</f>
        <v/>
      </c>
      <c r="G11" s="65" t="str">
        <f>IF(L11="","",INDEX(am_d,L11))</f>
        <v/>
      </c>
      <c r="H11" s="65" t="str">
        <f>IF(L11="","",INDEX(am_ipr,L11))</f>
        <v/>
      </c>
      <c r="I11" s="65" t="str">
        <f>IF(L11="","",INDEX(am_crit,L11)&amp;"")</f>
        <v/>
      </c>
      <c r="J11" s="65" t="str">
        <f>IF(L11="","",INDEX(am_cipr,L11))</f>
        <v/>
      </c>
      <c r="K11" s="80" t="str">
        <f>IF(L11="","",SUM(H$7:H11)/SUM(am_ipr))</f>
        <v/>
      </c>
      <c r="L11" s="65" t="str">
        <f>IFERROR(MATCH(LARGE(am_parkey,5),am_parkey,0),"")</f>
        <v/>
      </c>
    </row>
    <row r="12" ht="28" customHeight="1">
      <c r="A12" s="65" t="str">
        <f>IF(L12="","",6)</f>
        <v/>
      </c>
      <c r="B12" s="66" t="str">
        <f>IF(L12="","",INDEX(am_num,L12)&amp;"")</f>
        <v/>
      </c>
      <c r="C12" s="67" t="str">
        <f>IF(L12="","",INDEX(am_step,L12)&amp;"")</f>
        <v/>
      </c>
      <c r="D12" s="67" t="str">
        <f>IF(L12="","",INDEX(am_mode,L12)&amp;"")</f>
        <v/>
      </c>
      <c r="E12" s="65" t="str">
        <f>IF(L12="","",INDEX(am_g,L12))</f>
        <v/>
      </c>
      <c r="F12" s="65" t="str">
        <f>IF(L12="","",INDEX(am_o,L12))</f>
        <v/>
      </c>
      <c r="G12" s="65" t="str">
        <f>IF(L12="","",INDEX(am_d,L12))</f>
        <v/>
      </c>
      <c r="H12" s="65" t="str">
        <f>IF(L12="","",INDEX(am_ipr,L12))</f>
        <v/>
      </c>
      <c r="I12" s="65" t="str">
        <f>IF(L12="","",INDEX(am_crit,L12)&amp;"")</f>
        <v/>
      </c>
      <c r="J12" s="65" t="str">
        <f>IF(L12="","",INDEX(am_cipr,L12))</f>
        <v/>
      </c>
      <c r="K12" s="80" t="str">
        <f>IF(L12="","",SUM(H$7:H12)/SUM(am_ipr))</f>
        <v/>
      </c>
      <c r="L12" s="65" t="str">
        <f>IFERROR(MATCH(LARGE(am_parkey,6),am_parkey,0),"")</f>
        <v/>
      </c>
    </row>
    <row r="13" ht="28" customHeight="1">
      <c r="A13" s="65" t="str">
        <f>IF(L13="","",7)</f>
        <v/>
      </c>
      <c r="B13" s="66" t="str">
        <f>IF(L13="","",INDEX(am_num,L13)&amp;"")</f>
        <v/>
      </c>
      <c r="C13" s="67" t="str">
        <f>IF(L13="","",INDEX(am_step,L13)&amp;"")</f>
        <v/>
      </c>
      <c r="D13" s="67" t="str">
        <f>IF(L13="","",INDEX(am_mode,L13)&amp;"")</f>
        <v/>
      </c>
      <c r="E13" s="65" t="str">
        <f>IF(L13="","",INDEX(am_g,L13))</f>
        <v/>
      </c>
      <c r="F13" s="65" t="str">
        <f>IF(L13="","",INDEX(am_o,L13))</f>
        <v/>
      </c>
      <c r="G13" s="65" t="str">
        <f>IF(L13="","",INDEX(am_d,L13))</f>
        <v/>
      </c>
      <c r="H13" s="65" t="str">
        <f>IF(L13="","",INDEX(am_ipr,L13))</f>
        <v/>
      </c>
      <c r="I13" s="65" t="str">
        <f>IF(L13="","",INDEX(am_crit,L13)&amp;"")</f>
        <v/>
      </c>
      <c r="J13" s="65" t="str">
        <f>IF(L13="","",INDEX(am_cipr,L13))</f>
        <v/>
      </c>
      <c r="K13" s="80" t="str">
        <f>IF(L13="","",SUM(H$7:H13)/SUM(am_ipr))</f>
        <v/>
      </c>
      <c r="L13" s="65" t="str">
        <f>IFERROR(MATCH(LARGE(am_parkey,7),am_parkey,0),"")</f>
        <v/>
      </c>
    </row>
    <row r="14" ht="28" customHeight="1">
      <c r="A14" s="65" t="str">
        <f>IF(L14="","",8)</f>
        <v/>
      </c>
      <c r="B14" s="66" t="str">
        <f>IF(L14="","",INDEX(am_num,L14)&amp;"")</f>
        <v/>
      </c>
      <c r="C14" s="67" t="str">
        <f>IF(L14="","",INDEX(am_step,L14)&amp;"")</f>
        <v/>
      </c>
      <c r="D14" s="67" t="str">
        <f>IF(L14="","",INDEX(am_mode,L14)&amp;"")</f>
        <v/>
      </c>
      <c r="E14" s="65" t="str">
        <f>IF(L14="","",INDEX(am_g,L14))</f>
        <v/>
      </c>
      <c r="F14" s="65" t="str">
        <f>IF(L14="","",INDEX(am_o,L14))</f>
        <v/>
      </c>
      <c r="G14" s="65" t="str">
        <f>IF(L14="","",INDEX(am_d,L14))</f>
        <v/>
      </c>
      <c r="H14" s="65" t="str">
        <f>IF(L14="","",INDEX(am_ipr,L14))</f>
        <v/>
      </c>
      <c r="I14" s="65" t="str">
        <f>IF(L14="","",INDEX(am_crit,L14)&amp;"")</f>
        <v/>
      </c>
      <c r="J14" s="65" t="str">
        <f>IF(L14="","",INDEX(am_cipr,L14))</f>
        <v/>
      </c>
      <c r="K14" s="80" t="str">
        <f>IF(L14="","",SUM(H$7:H14)/SUM(am_ipr))</f>
        <v/>
      </c>
      <c r="L14" s="65" t="str">
        <f>IFERROR(MATCH(LARGE(am_parkey,8),am_parkey,0),"")</f>
        <v/>
      </c>
    </row>
    <row r="15" ht="28" customHeight="1">
      <c r="A15" s="65" t="str">
        <f>IF(L15="","",9)</f>
        <v/>
      </c>
      <c r="B15" s="66" t="str">
        <f>IF(L15="","",INDEX(am_num,L15)&amp;"")</f>
        <v/>
      </c>
      <c r="C15" s="67" t="str">
        <f>IF(L15="","",INDEX(am_step,L15)&amp;"")</f>
        <v/>
      </c>
      <c r="D15" s="67" t="str">
        <f>IF(L15="","",INDEX(am_mode,L15)&amp;"")</f>
        <v/>
      </c>
      <c r="E15" s="65" t="str">
        <f>IF(L15="","",INDEX(am_g,L15))</f>
        <v/>
      </c>
      <c r="F15" s="65" t="str">
        <f>IF(L15="","",INDEX(am_o,L15))</f>
        <v/>
      </c>
      <c r="G15" s="65" t="str">
        <f>IF(L15="","",INDEX(am_d,L15))</f>
        <v/>
      </c>
      <c r="H15" s="65" t="str">
        <f>IF(L15="","",INDEX(am_ipr,L15))</f>
        <v/>
      </c>
      <c r="I15" s="65" t="str">
        <f>IF(L15="","",INDEX(am_crit,L15)&amp;"")</f>
        <v/>
      </c>
      <c r="J15" s="65" t="str">
        <f>IF(L15="","",INDEX(am_cipr,L15))</f>
        <v/>
      </c>
      <c r="K15" s="80" t="str">
        <f>IF(L15="","",SUM(H$7:H15)/SUM(am_ipr))</f>
        <v/>
      </c>
      <c r="L15" s="65" t="str">
        <f>IFERROR(MATCH(LARGE(am_parkey,9),am_parkey,0),"")</f>
        <v/>
      </c>
    </row>
    <row r="16" ht="28" customHeight="1">
      <c r="A16" s="65" t="str">
        <f>IF(L16="","",10)</f>
        <v/>
      </c>
      <c r="B16" s="66" t="str">
        <f>IF(L16="","",INDEX(am_num,L16)&amp;"")</f>
        <v/>
      </c>
      <c r="C16" s="67" t="str">
        <f>IF(L16="","",INDEX(am_step,L16)&amp;"")</f>
        <v/>
      </c>
      <c r="D16" s="67" t="str">
        <f>IF(L16="","",INDEX(am_mode,L16)&amp;"")</f>
        <v/>
      </c>
      <c r="E16" s="65" t="str">
        <f>IF(L16="","",INDEX(am_g,L16))</f>
        <v/>
      </c>
      <c r="F16" s="65" t="str">
        <f>IF(L16="","",INDEX(am_o,L16))</f>
        <v/>
      </c>
      <c r="G16" s="65" t="str">
        <f>IF(L16="","",INDEX(am_d,L16))</f>
        <v/>
      </c>
      <c r="H16" s="65" t="str">
        <f>IF(L16="","",INDEX(am_ipr,L16))</f>
        <v/>
      </c>
      <c r="I16" s="65" t="str">
        <f>IF(L16="","",INDEX(am_crit,L16)&amp;"")</f>
        <v/>
      </c>
      <c r="J16" s="65" t="str">
        <f>IF(L16="","",INDEX(am_cipr,L16))</f>
        <v/>
      </c>
      <c r="K16" s="80" t="str">
        <f>IF(L16="","",SUM(H$7:H16)/SUM(am_ipr))</f>
        <v/>
      </c>
      <c r="L16" s="65" t="str">
        <f>IFERROR(MATCH(LARGE(am_parkey,10),am_parkey,0),"")</f>
        <v/>
      </c>
    </row>
    <row r="17" ht="28" customHeight="1">
      <c r="A17" s="65" t="str">
        <f>IF(L17="","",11)</f>
        <v/>
      </c>
      <c r="B17" s="66" t="str">
        <f>IF(L17="","",INDEX(am_num,L17)&amp;"")</f>
        <v/>
      </c>
      <c r="C17" s="67" t="str">
        <f>IF(L17="","",INDEX(am_step,L17)&amp;"")</f>
        <v/>
      </c>
      <c r="D17" s="67" t="str">
        <f>IF(L17="","",INDEX(am_mode,L17)&amp;"")</f>
        <v/>
      </c>
      <c r="E17" s="65" t="str">
        <f>IF(L17="","",INDEX(am_g,L17))</f>
        <v/>
      </c>
      <c r="F17" s="65" t="str">
        <f>IF(L17="","",INDEX(am_o,L17))</f>
        <v/>
      </c>
      <c r="G17" s="65" t="str">
        <f>IF(L17="","",INDEX(am_d,L17))</f>
        <v/>
      </c>
      <c r="H17" s="65" t="str">
        <f>IF(L17="","",INDEX(am_ipr,L17))</f>
        <v/>
      </c>
      <c r="I17" s="65" t="str">
        <f>IF(L17="","",INDEX(am_crit,L17)&amp;"")</f>
        <v/>
      </c>
      <c r="J17" s="65" t="str">
        <f>IF(L17="","",INDEX(am_cipr,L17))</f>
        <v/>
      </c>
      <c r="K17" s="80" t="str">
        <f>IF(L17="","",SUM(H$7:H17)/SUM(am_ipr))</f>
        <v/>
      </c>
      <c r="L17" s="65" t="str">
        <f>IFERROR(MATCH(LARGE(am_parkey,11),am_parkey,0),"")</f>
        <v/>
      </c>
    </row>
    <row r="18" ht="28" customHeight="1">
      <c r="A18" s="65" t="str">
        <f>IF(L18="","",12)</f>
        <v/>
      </c>
      <c r="B18" s="66" t="str">
        <f>IF(L18="","",INDEX(am_num,L18)&amp;"")</f>
        <v/>
      </c>
      <c r="C18" s="67" t="str">
        <f>IF(L18="","",INDEX(am_step,L18)&amp;"")</f>
        <v/>
      </c>
      <c r="D18" s="67" t="str">
        <f>IF(L18="","",INDEX(am_mode,L18)&amp;"")</f>
        <v/>
      </c>
      <c r="E18" s="65" t="str">
        <f>IF(L18="","",INDEX(am_g,L18))</f>
        <v/>
      </c>
      <c r="F18" s="65" t="str">
        <f>IF(L18="","",INDEX(am_o,L18))</f>
        <v/>
      </c>
      <c r="G18" s="65" t="str">
        <f>IF(L18="","",INDEX(am_d,L18))</f>
        <v/>
      </c>
      <c r="H18" s="65" t="str">
        <f>IF(L18="","",INDEX(am_ipr,L18))</f>
        <v/>
      </c>
      <c r="I18" s="65" t="str">
        <f>IF(L18="","",INDEX(am_crit,L18)&amp;"")</f>
        <v/>
      </c>
      <c r="J18" s="65" t="str">
        <f>IF(L18="","",INDEX(am_cipr,L18))</f>
        <v/>
      </c>
      <c r="K18" s="80" t="str">
        <f>IF(L18="","",SUM(H$7:H18)/SUM(am_ipr))</f>
        <v/>
      </c>
      <c r="L18" s="65" t="str">
        <f>IFERROR(MATCH(LARGE(am_parkey,12),am_parkey,0),"")</f>
        <v/>
      </c>
    </row>
    <row r="19" ht="28" customHeight="1">
      <c r="A19" s="65" t="str">
        <f>IF(L19="","",13)</f>
        <v/>
      </c>
      <c r="B19" s="66" t="str">
        <f>IF(L19="","",INDEX(am_num,L19)&amp;"")</f>
        <v/>
      </c>
      <c r="C19" s="67" t="str">
        <f>IF(L19="","",INDEX(am_step,L19)&amp;"")</f>
        <v/>
      </c>
      <c r="D19" s="67" t="str">
        <f>IF(L19="","",INDEX(am_mode,L19)&amp;"")</f>
        <v/>
      </c>
      <c r="E19" s="65" t="str">
        <f>IF(L19="","",INDEX(am_g,L19))</f>
        <v/>
      </c>
      <c r="F19" s="65" t="str">
        <f>IF(L19="","",INDEX(am_o,L19))</f>
        <v/>
      </c>
      <c r="G19" s="65" t="str">
        <f>IF(L19="","",INDEX(am_d,L19))</f>
        <v/>
      </c>
      <c r="H19" s="65" t="str">
        <f>IF(L19="","",INDEX(am_ipr,L19))</f>
        <v/>
      </c>
      <c r="I19" s="65" t="str">
        <f>IF(L19="","",INDEX(am_crit,L19)&amp;"")</f>
        <v/>
      </c>
      <c r="J19" s="65" t="str">
        <f>IF(L19="","",INDEX(am_cipr,L19))</f>
        <v/>
      </c>
      <c r="K19" s="80" t="str">
        <f>IF(L19="","",SUM(H$7:H19)/SUM(am_ipr))</f>
        <v/>
      </c>
      <c r="L19" s="65" t="str">
        <f>IFERROR(MATCH(LARGE(am_parkey,13),am_parkey,0),"")</f>
        <v/>
      </c>
    </row>
    <row r="20" ht="28" customHeight="1">
      <c r="A20" s="65" t="str">
        <f>IF(L20="","",14)</f>
        <v/>
      </c>
      <c r="B20" s="66" t="str">
        <f>IF(L20="","",INDEX(am_num,L20)&amp;"")</f>
        <v/>
      </c>
      <c r="C20" s="67" t="str">
        <f>IF(L20="","",INDEX(am_step,L20)&amp;"")</f>
        <v/>
      </c>
      <c r="D20" s="67" t="str">
        <f>IF(L20="","",INDEX(am_mode,L20)&amp;"")</f>
        <v/>
      </c>
      <c r="E20" s="65" t="str">
        <f>IF(L20="","",INDEX(am_g,L20))</f>
        <v/>
      </c>
      <c r="F20" s="65" t="str">
        <f>IF(L20="","",INDEX(am_o,L20))</f>
        <v/>
      </c>
      <c r="G20" s="65" t="str">
        <f>IF(L20="","",INDEX(am_d,L20))</f>
        <v/>
      </c>
      <c r="H20" s="65" t="str">
        <f>IF(L20="","",INDEX(am_ipr,L20))</f>
        <v/>
      </c>
      <c r="I20" s="65" t="str">
        <f>IF(L20="","",INDEX(am_crit,L20)&amp;"")</f>
        <v/>
      </c>
      <c r="J20" s="65" t="str">
        <f>IF(L20="","",INDEX(am_cipr,L20))</f>
        <v/>
      </c>
      <c r="K20" s="80" t="str">
        <f>IF(L20="","",SUM(H$7:H20)/SUM(am_ipr))</f>
        <v/>
      </c>
      <c r="L20" s="65" t="str">
        <f>IFERROR(MATCH(LARGE(am_parkey,14),am_parkey,0),"")</f>
        <v/>
      </c>
    </row>
    <row r="21" ht="28" customHeight="1">
      <c r="A21" s="65" t="str">
        <f>IF(L21="","",15)</f>
        <v/>
      </c>
      <c r="B21" s="66" t="str">
        <f>IF(L21="","",INDEX(am_num,L21)&amp;"")</f>
        <v/>
      </c>
      <c r="C21" s="67" t="str">
        <f>IF(L21="","",INDEX(am_step,L21)&amp;"")</f>
        <v/>
      </c>
      <c r="D21" s="67" t="str">
        <f>IF(L21="","",INDEX(am_mode,L21)&amp;"")</f>
        <v/>
      </c>
      <c r="E21" s="65" t="str">
        <f>IF(L21="","",INDEX(am_g,L21))</f>
        <v/>
      </c>
      <c r="F21" s="65" t="str">
        <f>IF(L21="","",INDEX(am_o,L21))</f>
        <v/>
      </c>
      <c r="G21" s="65" t="str">
        <f>IF(L21="","",INDEX(am_d,L21))</f>
        <v/>
      </c>
      <c r="H21" s="65" t="str">
        <f>IF(L21="","",INDEX(am_ipr,L21))</f>
        <v/>
      </c>
      <c r="I21" s="65" t="str">
        <f>IF(L21="","",INDEX(am_crit,L21)&amp;"")</f>
        <v/>
      </c>
      <c r="J21" s="65" t="str">
        <f>IF(L21="","",INDEX(am_cipr,L21))</f>
        <v/>
      </c>
      <c r="K21" s="80" t="str">
        <f>IF(L21="","",SUM(H$7:H21)/SUM(am_ipr))</f>
        <v/>
      </c>
      <c r="L21" s="65" t="str">
        <f>IFERROR(MATCH(LARGE(am_parkey,15),am_parkey,0),"")</f>
        <v/>
      </c>
    </row>
    <row r="22" ht="28" customHeight="1">
      <c r="A22" s="65" t="str">
        <f>IF(L22="","",16)</f>
        <v/>
      </c>
      <c r="B22" s="66" t="str">
        <f>IF(L22="","",INDEX(am_num,L22)&amp;"")</f>
        <v/>
      </c>
      <c r="C22" s="67" t="str">
        <f>IF(L22="","",INDEX(am_step,L22)&amp;"")</f>
        <v/>
      </c>
      <c r="D22" s="67" t="str">
        <f>IF(L22="","",INDEX(am_mode,L22)&amp;"")</f>
        <v/>
      </c>
      <c r="E22" s="65" t="str">
        <f>IF(L22="","",INDEX(am_g,L22))</f>
        <v/>
      </c>
      <c r="F22" s="65" t="str">
        <f>IF(L22="","",INDEX(am_o,L22))</f>
        <v/>
      </c>
      <c r="G22" s="65" t="str">
        <f>IF(L22="","",INDEX(am_d,L22))</f>
        <v/>
      </c>
      <c r="H22" s="65" t="str">
        <f>IF(L22="","",INDEX(am_ipr,L22))</f>
        <v/>
      </c>
      <c r="I22" s="65" t="str">
        <f>IF(L22="","",INDEX(am_crit,L22)&amp;"")</f>
        <v/>
      </c>
      <c r="J22" s="65" t="str">
        <f>IF(L22="","",INDEX(am_cipr,L22))</f>
        <v/>
      </c>
      <c r="K22" s="80" t="str">
        <f>IF(L22="","",SUM(H$7:H22)/SUM(am_ipr))</f>
        <v/>
      </c>
      <c r="L22" s="65" t="str">
        <f>IFERROR(MATCH(LARGE(am_parkey,16),am_parkey,0),"")</f>
        <v/>
      </c>
    </row>
    <row r="23" ht="28" customHeight="1">
      <c r="A23" s="65" t="str">
        <f>IF(L23="","",17)</f>
        <v/>
      </c>
      <c r="B23" s="66" t="str">
        <f>IF(L23="","",INDEX(am_num,L23)&amp;"")</f>
        <v/>
      </c>
      <c r="C23" s="67" t="str">
        <f>IF(L23="","",INDEX(am_step,L23)&amp;"")</f>
        <v/>
      </c>
      <c r="D23" s="67" t="str">
        <f>IF(L23="","",INDEX(am_mode,L23)&amp;"")</f>
        <v/>
      </c>
      <c r="E23" s="65" t="str">
        <f>IF(L23="","",INDEX(am_g,L23))</f>
        <v/>
      </c>
      <c r="F23" s="65" t="str">
        <f>IF(L23="","",INDEX(am_o,L23))</f>
        <v/>
      </c>
      <c r="G23" s="65" t="str">
        <f>IF(L23="","",INDEX(am_d,L23))</f>
        <v/>
      </c>
      <c r="H23" s="65" t="str">
        <f>IF(L23="","",INDEX(am_ipr,L23))</f>
        <v/>
      </c>
      <c r="I23" s="65" t="str">
        <f>IF(L23="","",INDEX(am_crit,L23)&amp;"")</f>
        <v/>
      </c>
      <c r="J23" s="65" t="str">
        <f>IF(L23="","",INDEX(am_cipr,L23))</f>
        <v/>
      </c>
      <c r="K23" s="80" t="str">
        <f>IF(L23="","",SUM(H$7:H23)/SUM(am_ipr))</f>
        <v/>
      </c>
      <c r="L23" s="65" t="str">
        <f>IFERROR(MATCH(LARGE(am_parkey,17),am_parkey,0),"")</f>
        <v/>
      </c>
    </row>
    <row r="24" ht="28" customHeight="1">
      <c r="A24" s="65" t="str">
        <f>IF(L24="","",18)</f>
        <v/>
      </c>
      <c r="B24" s="66" t="str">
        <f>IF(L24="","",INDEX(am_num,L24)&amp;"")</f>
        <v/>
      </c>
      <c r="C24" s="67" t="str">
        <f>IF(L24="","",INDEX(am_step,L24)&amp;"")</f>
        <v/>
      </c>
      <c r="D24" s="67" t="str">
        <f>IF(L24="","",INDEX(am_mode,L24)&amp;"")</f>
        <v/>
      </c>
      <c r="E24" s="65" t="str">
        <f>IF(L24="","",INDEX(am_g,L24))</f>
        <v/>
      </c>
      <c r="F24" s="65" t="str">
        <f>IF(L24="","",INDEX(am_o,L24))</f>
        <v/>
      </c>
      <c r="G24" s="65" t="str">
        <f>IF(L24="","",INDEX(am_d,L24))</f>
        <v/>
      </c>
      <c r="H24" s="65" t="str">
        <f>IF(L24="","",INDEX(am_ipr,L24))</f>
        <v/>
      </c>
      <c r="I24" s="65" t="str">
        <f>IF(L24="","",INDEX(am_crit,L24)&amp;"")</f>
        <v/>
      </c>
      <c r="J24" s="65" t="str">
        <f>IF(L24="","",INDEX(am_cipr,L24))</f>
        <v/>
      </c>
      <c r="K24" s="80" t="str">
        <f>IF(L24="","",SUM(H$7:H24)/SUM(am_ipr))</f>
        <v/>
      </c>
      <c r="L24" s="65" t="str">
        <f>IFERROR(MATCH(LARGE(am_parkey,18),am_parkey,0),"")</f>
        <v/>
      </c>
    </row>
    <row r="25" ht="28" customHeight="1">
      <c r="A25" s="65" t="str">
        <f>IF(L25="","",19)</f>
        <v/>
      </c>
      <c r="B25" s="66" t="str">
        <f>IF(L25="","",INDEX(am_num,L25)&amp;"")</f>
        <v/>
      </c>
      <c r="C25" s="67" t="str">
        <f>IF(L25="","",INDEX(am_step,L25)&amp;"")</f>
        <v/>
      </c>
      <c r="D25" s="67" t="str">
        <f>IF(L25="","",INDEX(am_mode,L25)&amp;"")</f>
        <v/>
      </c>
      <c r="E25" s="65" t="str">
        <f>IF(L25="","",INDEX(am_g,L25))</f>
        <v/>
      </c>
      <c r="F25" s="65" t="str">
        <f>IF(L25="","",INDEX(am_o,L25))</f>
        <v/>
      </c>
      <c r="G25" s="65" t="str">
        <f>IF(L25="","",INDEX(am_d,L25))</f>
        <v/>
      </c>
      <c r="H25" s="65" t="str">
        <f>IF(L25="","",INDEX(am_ipr,L25))</f>
        <v/>
      </c>
      <c r="I25" s="65" t="str">
        <f>IF(L25="","",INDEX(am_crit,L25)&amp;"")</f>
        <v/>
      </c>
      <c r="J25" s="65" t="str">
        <f>IF(L25="","",INDEX(am_cipr,L25))</f>
        <v/>
      </c>
      <c r="K25" s="80" t="str">
        <f>IF(L25="","",SUM(H$7:H25)/SUM(am_ipr))</f>
        <v/>
      </c>
      <c r="L25" s="65" t="str">
        <f>IFERROR(MATCH(LARGE(am_parkey,19),am_parkey,0),"")</f>
        <v/>
      </c>
    </row>
    <row r="26" ht="28" customHeight="1">
      <c r="A26" s="65" t="str">
        <f>IF(L26="","",20)</f>
        <v/>
      </c>
      <c r="B26" s="66" t="str">
        <f>IF(L26="","",INDEX(am_num,L26)&amp;"")</f>
        <v/>
      </c>
      <c r="C26" s="67" t="str">
        <f>IF(L26="","",INDEX(am_step,L26)&amp;"")</f>
        <v/>
      </c>
      <c r="D26" s="67" t="str">
        <f>IF(L26="","",INDEX(am_mode,L26)&amp;"")</f>
        <v/>
      </c>
      <c r="E26" s="65" t="str">
        <f>IF(L26="","",INDEX(am_g,L26))</f>
        <v/>
      </c>
      <c r="F26" s="65" t="str">
        <f>IF(L26="","",INDEX(am_o,L26))</f>
        <v/>
      </c>
      <c r="G26" s="65" t="str">
        <f>IF(L26="","",INDEX(am_d,L26))</f>
        <v/>
      </c>
      <c r="H26" s="65" t="str">
        <f>IF(L26="","",INDEX(am_ipr,L26))</f>
        <v/>
      </c>
      <c r="I26" s="65" t="str">
        <f>IF(L26="","",INDEX(am_crit,L26)&amp;"")</f>
        <v/>
      </c>
      <c r="J26" s="65" t="str">
        <f>IF(L26="","",INDEX(am_cipr,L26))</f>
        <v/>
      </c>
      <c r="K26" s="80" t="str">
        <f>IF(L26="","",SUM(H$7:H26)/SUM(am_ipr))</f>
        <v/>
      </c>
      <c r="L26" s="65" t="str">
        <f>IFERROR(MATCH(LARGE(am_parkey,20),am_parkey,0),"")</f>
        <v/>
      </c>
    </row>
  </sheetData>
  <conditionalFormatting sqref="I7:I26">
    <cfRule type="expression" priority="1" dxfId="0">
      <formula>$I7="Critique"</formula>
    </cfRule>
    <cfRule type="expression" priority="2" dxfId="1">
      <formula>$I7="Élevée"</formula>
    </cfRule>
    <cfRule type="expression" priority="3" dxfId="2">
      <formula>$I7="Moyenne"</formula>
    </cfRule>
    <cfRule type="expression" priority="4" dxfId="3">
      <formula>$I7="Faible"</formula>
    </cfRule>
    <cfRule type="expression" priority="5" dxfId="4">
      <formula>$I7="À coter"</formula>
    </cfRule>
  </conditionalFormatting>
  <hyperlinks>
    <hyperlink ref="K1" location="'Mode d''emploi'!A1"/>
  </hyperlinks>
  <printOptions horizontalCentered="1"/>
  <pageMargins left="0.4" right="0.4" top="0.5" bottom="0.5" header="0.5" footer="0.5"/>
  <pageSetup orientation="portrait" paperSize="9" fitToHeight="0" fitToWidth="1"/>
  <drawing xmlns:r="http://schemas.openxmlformats.org/officeDocument/2006/relationships" r:id="rId1"/>
</worksheet>
</file>

<file path=xl/worksheets/sheet7.xml><?xml version="1.0" encoding="utf-8"?>
<worksheet xmlns="http://schemas.openxmlformats.org/spreadsheetml/2006/main">
  <sheetPr>
    <tabColor rgb="FFB91C1C"/>
    <outlinePr summaryBelow="1" summaryRight="1"/>
    <pageSetUpPr fitToPage="1"/>
  </sheetPr>
  <dimension ref="A1:C50"/>
  <sheetViews>
    <sheetView showGridLines="0" tabSelected="0" zoomScale="100" workbookViewId="0">
      <pane ySplit="3" topLeftCell="A4" activePane="bottomLeft" state="frozen"/>
      <selection pane="bottomLeft" activeCell="A1" sqref="A1"/>
    </sheetView>
  </sheetViews>
  <sheetFormatPr baseColWidth="8" defaultRowHeight="15"/>
  <cols>
    <col width="8" customWidth="1" min="1" max="1"/>
    <col width="28" customWidth="1" min="2" max="2"/>
    <col width="96" customWidth="1" min="3" max="3"/>
  </cols>
  <sheetData>
    <row r="1" ht="38" customHeight="1">
      <c r="A1" s="2" t="inlineStr">
        <is>
          <t>Grilles de cotation</t>
        </is>
      </c>
      <c r="B1" s="1" t="n"/>
      <c r="C1" s="18" t="inlineStr">
        <is>
          <t>⌂ Mode d'emploi</t>
        </is>
      </c>
    </row>
    <row r="2" ht="22" customHeight="1">
      <c r="A2" s="4" t="inlineStr">
        <is>
          <t>Repères pour noter de 1 à 10. Adaptez les textes à votre métier, puis gardez la même grille pendant toute l'analyse.</t>
        </is>
      </c>
      <c r="B2" s="3" t="n"/>
      <c r="C2" s="3" t="n"/>
    </row>
    <row r="3" ht="18" customHeight="1"/>
    <row r="4" ht="22" customHeight="1">
      <c r="A4" s="5" t="inlineStr">
        <is>
          <t>Gravité (G) : l'effet de la défaillance, pour le client et pour l'atelier</t>
        </is>
      </c>
      <c r="B4" s="6" t="n"/>
      <c r="C4" s="6" t="n"/>
    </row>
    <row r="5" ht="20" customHeight="1">
      <c r="A5" s="39" t="inlineStr">
        <is>
          <t>Note</t>
        </is>
      </c>
      <c r="B5" s="39" t="inlineStr">
        <is>
          <t>Niveau</t>
        </is>
      </c>
      <c r="C5" s="39" t="inlineStr">
        <is>
          <t>Critère</t>
        </is>
      </c>
    </row>
    <row r="6" ht="30" customHeight="1">
      <c r="A6" s="81" t="n">
        <v>10</v>
      </c>
      <c r="B6" s="82" t="inlineStr">
        <is>
          <t>Danger sans alerte</t>
        </is>
      </c>
      <c r="C6" s="83" t="inlineStr">
        <is>
          <t>Atteinte à la sécurité de l'utilisateur ou non-respect d'une réglementation, sans signe avant-coureur. Ou danger pour l'opérateur sans alerte.</t>
        </is>
      </c>
    </row>
    <row r="7" ht="30" customHeight="1">
      <c r="A7" s="84" t="n">
        <v>9</v>
      </c>
      <c r="B7" s="85" t="inlineStr">
        <is>
          <t>Danger avec alerte</t>
        </is>
      </c>
      <c r="C7" s="86" t="inlineStr">
        <is>
          <t>Atteinte à la sécurité ou à la réglementation, précédée d'un signe avant-coureur (bruit, voyant). Ou danger pour l'opérateur avec alerte.</t>
        </is>
      </c>
    </row>
    <row r="8" ht="18" customHeight="1">
      <c r="A8" s="81" t="n">
        <v>8</v>
      </c>
      <c r="B8" s="82" t="inlineStr">
        <is>
          <t>Fonction principale perdue</t>
        </is>
      </c>
      <c r="C8" s="83" t="inlineStr">
        <is>
          <t>Produit inutilisable. Chez vous : 100 % des pièces au rebut ou arrêt de la ligne du client.</t>
        </is>
      </c>
    </row>
    <row r="9" ht="30" customHeight="1">
      <c r="A9" s="84" t="n">
        <v>7</v>
      </c>
      <c r="B9" s="85" t="inlineStr">
        <is>
          <t>Fonction principale dégradée</t>
        </is>
      </c>
      <c r="C9" s="86" t="inlineStr">
        <is>
          <t>Produit utilisable avec des performances réduites, client très mécontent. Chez vous : tri ou retouche hors ligne de tout le lot.</t>
        </is>
      </c>
    </row>
    <row r="10" ht="18" customHeight="1">
      <c r="A10" s="81" t="n">
        <v>6</v>
      </c>
      <c r="B10" s="82" t="inlineStr">
        <is>
          <t>Fonction secondaire perdue</t>
        </is>
      </c>
      <c r="C10" s="83" t="inlineStr">
        <is>
          <t>Une fonction de confort ou annexe ne marche plus. Chez vous : une partie du lot au rebut.</t>
        </is>
      </c>
    </row>
    <row r="11" ht="18" customHeight="1">
      <c r="A11" s="84" t="n">
        <v>5</v>
      </c>
      <c r="B11" s="85" t="inlineStr">
        <is>
          <t>Fonction secondaire dégradée</t>
        </is>
      </c>
      <c r="C11" s="86" t="inlineStr">
        <is>
          <t>Fonction annexe moins performante. Chez vous : retouche hors poste d'une partie du lot.</t>
        </is>
      </c>
    </row>
    <row r="12" ht="30" customHeight="1">
      <c r="A12" s="81" t="n">
        <v>4</v>
      </c>
      <c r="B12" s="82" t="inlineStr">
        <is>
          <t>Défaut d'aspect visible</t>
        </is>
      </c>
      <c r="C12" s="83" t="inlineStr">
        <is>
          <t>Aspect, bruit ou finition remarqués par la plupart des clients. Chez vous : retouche au poste de tout le lot.</t>
        </is>
      </c>
    </row>
    <row r="13" ht="18" customHeight="1">
      <c r="A13" s="84" t="n">
        <v>3</v>
      </c>
      <c r="B13" s="85" t="inlineStr">
        <is>
          <t>Défaut d'aspect discret</t>
        </is>
      </c>
      <c r="C13" s="86" t="inlineStr">
        <is>
          <t>Remarqué par une partie des clients. Chez vous : retouche au poste d'une partie du lot.</t>
        </is>
      </c>
    </row>
    <row r="14" ht="18" customHeight="1">
      <c r="A14" s="81" t="n">
        <v>2</v>
      </c>
      <c r="B14" s="82" t="inlineStr">
        <is>
          <t>Défaut à peine perceptible</t>
        </is>
      </c>
      <c r="C14" s="83" t="inlineStr">
        <is>
          <t>Remarqué par un client attentif. Gêne légère pour l'opération suivante.</t>
        </is>
      </c>
    </row>
    <row r="15" ht="18" customHeight="1">
      <c r="A15" s="84" t="n">
        <v>1</v>
      </c>
      <c r="B15" s="85" t="inlineStr">
        <is>
          <t>Aucun effet</t>
        </is>
      </c>
      <c r="C15" s="86" t="inlineStr">
        <is>
          <t>Aucun effet perceptible pour le client ni pour l'atelier.</t>
        </is>
      </c>
    </row>
    <row r="18" ht="22" customHeight="1">
      <c r="A18" s="5" t="inlineStr">
        <is>
          <t>Occurrence (O) : la probabilité que la cause se produise, contrôles de prévention compris</t>
        </is>
      </c>
      <c r="B18" s="6" t="n"/>
      <c r="C18" s="6" t="n"/>
    </row>
    <row r="19" ht="20" customHeight="1">
      <c r="A19" s="39" t="inlineStr">
        <is>
          <t>Note</t>
        </is>
      </c>
      <c r="B19" s="39" t="inlineStr">
        <is>
          <t>Niveau</t>
        </is>
      </c>
      <c r="C19" s="39" t="inlineStr">
        <is>
          <t>Critère</t>
        </is>
      </c>
    </row>
    <row r="20" ht="18" customHeight="1">
      <c r="A20" s="87" t="n">
        <v>10</v>
      </c>
      <c r="B20" s="82" t="inlineStr">
        <is>
          <t>Très élevée</t>
        </is>
      </c>
      <c r="C20" s="83" t="inlineStr">
        <is>
          <t>Environ 100 défauts ou plus pour 1 000 pièces (1 sur 10). Aucune prévention.</t>
        </is>
      </c>
    </row>
    <row r="21" ht="18" customHeight="1">
      <c r="A21" s="88" t="n">
        <v>9</v>
      </c>
      <c r="B21" s="85" t="inlineStr">
        <is>
          <t>Élevée</t>
        </is>
      </c>
      <c r="C21" s="86" t="inlineStr">
        <is>
          <t>Environ 50 pour 1 000 pièces (1 sur 20).</t>
        </is>
      </c>
    </row>
    <row r="22" ht="18" customHeight="1">
      <c r="A22" s="87" t="n">
        <v>8</v>
      </c>
      <c r="B22" s="82" t="inlineStr">
        <is>
          <t>Élevée</t>
        </is>
      </c>
      <c r="C22" s="83" t="inlineStr">
        <is>
          <t>Environ 20 pour 1 000 pièces (1 sur 50).</t>
        </is>
      </c>
    </row>
    <row r="23" ht="18" customHeight="1">
      <c r="A23" s="88" t="n">
        <v>7</v>
      </c>
      <c r="B23" s="85" t="inlineStr">
        <is>
          <t>Assez élevée</t>
        </is>
      </c>
      <c r="C23" s="86" t="inlineStr">
        <is>
          <t>Environ 10 pour 1 000 pièces (1 sur 100).</t>
        </is>
      </c>
    </row>
    <row r="24" ht="18" customHeight="1">
      <c r="A24" s="87" t="n">
        <v>6</v>
      </c>
      <c r="B24" s="82" t="inlineStr">
        <is>
          <t>Modérée</t>
        </is>
      </c>
      <c r="C24" s="83" t="inlineStr">
        <is>
          <t>Environ 2 pour 1 000 pièces (1 sur 500).</t>
        </is>
      </c>
    </row>
    <row r="25" ht="18" customHeight="1">
      <c r="A25" s="88" t="n">
        <v>5</v>
      </c>
      <c r="B25" s="85" t="inlineStr">
        <is>
          <t>Modérée</t>
        </is>
      </c>
      <c r="C25" s="86" t="inlineStr">
        <is>
          <t>Environ 0,5 pour 1 000 pièces (1 sur 2 000).</t>
        </is>
      </c>
    </row>
    <row r="26" ht="18" customHeight="1">
      <c r="A26" s="87" t="n">
        <v>4</v>
      </c>
      <c r="B26" s="82" t="inlineStr">
        <is>
          <t>Faible</t>
        </is>
      </c>
      <c r="C26" s="83" t="inlineStr">
        <is>
          <t>Environ 0,1 pour 1 000 pièces (1 sur 10 000).</t>
        </is>
      </c>
    </row>
    <row r="27" ht="18" customHeight="1">
      <c r="A27" s="88" t="n">
        <v>3</v>
      </c>
      <c r="B27" s="85" t="inlineStr">
        <is>
          <t>Faible</t>
        </is>
      </c>
      <c r="C27" s="86" t="inlineStr">
        <is>
          <t>Environ 0,01 pour 1 000 pièces (1 sur 100 000).</t>
        </is>
      </c>
    </row>
    <row r="28" ht="30" customHeight="1">
      <c r="A28" s="87" t="n">
        <v>2</v>
      </c>
      <c r="B28" s="82" t="inlineStr">
        <is>
          <t>Très faible</t>
        </is>
      </c>
      <c r="C28" s="83" t="inlineStr">
        <is>
          <t>0,001 pour 1 000 pièces ou moins (1 sur 1 000 000). Cas isolés déjà connus sur un processus semblable.</t>
        </is>
      </c>
    </row>
    <row r="29" ht="18" customHeight="1">
      <c r="A29" s="88" t="n">
        <v>1</v>
      </c>
      <c r="B29" s="85" t="inlineStr">
        <is>
          <t>Quasi nulle</t>
        </is>
      </c>
      <c r="C29" s="86" t="inlineStr">
        <is>
          <t>La cause est éliminée par la prévention : détrompeur, conception, paramètre verrouillé.</t>
        </is>
      </c>
    </row>
    <row r="32" ht="22" customHeight="1">
      <c r="A32" s="5" t="inlineStr">
        <is>
          <t>Détection (D) : la chance de repérer le défaut avant qu'il parte chez le client</t>
        </is>
      </c>
      <c r="B32" s="6" t="n"/>
      <c r="C32" s="6" t="n"/>
    </row>
    <row r="33" ht="20" customHeight="1">
      <c r="A33" s="39" t="inlineStr">
        <is>
          <t>Note</t>
        </is>
      </c>
      <c r="B33" s="39" t="inlineStr">
        <is>
          <t>Niveau</t>
        </is>
      </c>
      <c r="C33" s="39" t="inlineStr">
        <is>
          <t>Critère</t>
        </is>
      </c>
    </row>
    <row r="34" ht="18" customHeight="1">
      <c r="A34" s="89" t="n">
        <v>10</v>
      </c>
      <c r="B34" s="82" t="inlineStr">
        <is>
          <t>Aucune détection</t>
        </is>
      </c>
      <c r="C34" s="83" t="inlineStr">
        <is>
          <t>Aucun contrôle, ou le défaut ne peut pas être vu avant le client.</t>
        </is>
      </c>
    </row>
    <row r="35" ht="18" customHeight="1">
      <c r="A35" s="90" t="n">
        <v>9</v>
      </c>
      <c r="B35" s="85" t="inlineStr">
        <is>
          <t>Très improbable</t>
        </is>
      </c>
      <c r="C35" s="86" t="inlineStr">
        <is>
          <t>Contrôle aléatoire ou indirect, audit occasionnel.</t>
        </is>
      </c>
    </row>
    <row r="36" ht="18" customHeight="1">
      <c r="A36" s="89" t="n">
        <v>8</v>
      </c>
      <c r="B36" s="82" t="inlineStr">
        <is>
          <t>Improbable</t>
        </is>
      </c>
      <c r="C36" s="83" t="inlineStr">
        <is>
          <t>Contrôle visuel ou au toucher par une personne, après l'opération, sur un échantillon.</t>
        </is>
      </c>
    </row>
    <row r="37" ht="18" customHeight="1">
      <c r="A37" s="90" t="n">
        <v>7</v>
      </c>
      <c r="B37" s="85" t="inlineStr">
        <is>
          <t>Faible</t>
        </is>
      </c>
      <c r="C37" s="86" t="inlineStr">
        <is>
          <t>Contrôle visuel ou au toucher sur chaque pièce, ou double contrôle visuel.</t>
        </is>
      </c>
    </row>
    <row r="38" ht="18" customHeight="1">
      <c r="A38" s="89" t="n">
        <v>6</v>
      </c>
      <c r="B38" s="82" t="inlineStr">
        <is>
          <t>Assez faible</t>
        </is>
      </c>
      <c r="C38" s="83" t="inlineStr">
        <is>
          <t>Mesure avec un instrument (pied à coulisse, rapporteur) sur un échantillon.</t>
        </is>
      </c>
    </row>
    <row r="39" ht="18" customHeight="1">
      <c r="A39" s="90" t="n">
        <v>5</v>
      </c>
      <c r="B39" s="85" t="inlineStr">
        <is>
          <t>Moyenne</t>
        </is>
      </c>
      <c r="C39" s="86" t="inlineStr">
        <is>
          <t>Mesure avec un instrument sur chaque pièce, ou suivi par carte de contrôle (SPC).</t>
        </is>
      </c>
    </row>
    <row r="40" ht="18" customHeight="1">
      <c r="A40" s="89" t="n">
        <v>4</v>
      </c>
      <c r="B40" s="82" t="inlineStr">
        <is>
          <t>Assez élevée</t>
        </is>
      </c>
      <c r="C40" s="83" t="inlineStr">
        <is>
          <t>Gabarit ou tampon entre / n'entre pas sur chaque pièce, après l'opération.</t>
        </is>
      </c>
    </row>
    <row r="41" ht="30" customHeight="1">
      <c r="A41" s="90" t="n">
        <v>3</v>
      </c>
      <c r="B41" s="85" t="inlineStr">
        <is>
          <t>Élevée</t>
        </is>
      </c>
      <c r="C41" s="86" t="inlineStr">
        <is>
          <t>Détection automatique en aval : la pièce défectueuse est repérée et bloquée avant l'opération suivante.</t>
        </is>
      </c>
    </row>
    <row r="42" ht="18" customHeight="1">
      <c r="A42" s="89" t="n">
        <v>2</v>
      </c>
      <c r="B42" s="82" t="inlineStr">
        <is>
          <t>Très élevée</t>
        </is>
      </c>
      <c r="C42" s="83" t="inlineStr">
        <is>
          <t>Détection automatique au poste : la machine s'arrête ou rejette la pièce.</t>
        </is>
      </c>
    </row>
    <row r="43" ht="18" customHeight="1">
      <c r="A43" s="90" t="n">
        <v>1</v>
      </c>
      <c r="B43" s="85" t="inlineStr">
        <is>
          <t>Certaine</t>
        </is>
      </c>
      <c r="C43" s="86" t="inlineStr">
        <is>
          <t>Le défaut ne peut pas être produit (détrompeur) ou il est toujours détecté.</t>
        </is>
      </c>
    </row>
    <row r="46" ht="22" customHeight="1">
      <c r="A46" s="5" t="inlineStr">
        <is>
          <t>Règle de décision appliquée (réglée dans « Paramètres »)</t>
        </is>
      </c>
      <c r="B46" s="6" t="n"/>
      <c r="C46" s="6" t="n"/>
    </row>
    <row r="47">
      <c r="A47" s="91" t="inlineStr">
        <is>
          <t>Critique</t>
        </is>
      </c>
      <c r="B47" s="92" t="str">
        <f>"Critique : G égale ou supérieure à "&amp;p_gmin&amp;", ou IPR égal ou supérieur à "&amp;p_ipr_crit&amp;". Action obligatoire."</f>
        <v>Critique : G égale ou supérieure à 9, ou IPR égal ou supérieur à 200. Action obligatoire.</v>
      </c>
    </row>
    <row r="48">
      <c r="A48" s="93" t="inlineStr">
        <is>
          <t>Élevée</t>
        </is>
      </c>
      <c r="B48" s="92" t="str">
        <f>"Élevée : IPR de "&amp;p_ipr_act&amp;" à "&amp;(p_ipr_crit-1)&amp;". Action obligatoire."</f>
        <v>Élevée : IPR de 100 à 199. Action obligatoire.</v>
      </c>
    </row>
    <row r="49">
      <c r="A49" s="94" t="inlineStr">
        <is>
          <t>Moyenne</t>
        </is>
      </c>
      <c r="B49" s="92" t="str">
        <f>"Moyenne : IPR de "&amp;p_ipr_watch&amp;" à "&amp;(p_ipr_act-1)&amp;". À surveiller, action si elle est simple."</f>
        <v>Moyenne : IPR de 50 à 99. À surveiller, action si elle est simple.</v>
      </c>
    </row>
    <row r="50">
      <c r="A50" s="95" t="inlineStr">
        <is>
          <t>Faible</t>
        </is>
      </c>
      <c r="B50" s="92" t="str">
        <f>"Faible : IPR inférieur à "&amp;p_ipr_watch&amp;". Pas d'action."</f>
        <v>Faible : IPR inférieur à 50. Pas d'action.</v>
      </c>
    </row>
  </sheetData>
  <mergeCells count="4">
    <mergeCell ref="B49:C49"/>
    <mergeCell ref="B47:C47"/>
    <mergeCell ref="B48:C48"/>
    <mergeCell ref="B50:C50"/>
  </mergeCells>
  <hyperlinks>
    <hyperlink ref="C1" location="'Mode d''emploi'!A1"/>
  </hyperlinks>
  <printOptions horizontalCentered="1"/>
  <pageMargins left="0.4" right="0.4" top="0.5" bottom="0.5" header="0.5" footer="0.5"/>
  <pageSetup orientation="portrait" paperSize="9" fitToHeight="0" fitToWidth="1"/>
</worksheet>
</file>

<file path=xl/worksheets/sheet8.xml><?xml version="1.0" encoding="utf-8"?>
<worksheet xmlns="http://schemas.openxmlformats.org/spreadsheetml/2006/main">
  <sheetPr>
    <tabColor rgb="FF94A3B8"/>
    <outlinePr summaryBelow="1" summaryRight="1"/>
    <pageSetUpPr fitToPage="1"/>
  </sheetPr>
  <dimension ref="A1:E41"/>
  <sheetViews>
    <sheetView showGridLines="0" tabSelected="0" zoomScale="100" workbookViewId="0">
      <selection activeCell="A1" sqref="A1"/>
    </sheetView>
  </sheetViews>
  <sheetFormatPr baseColWidth="8" defaultRowHeight="15"/>
  <cols>
    <col width="54" customWidth="1" min="1" max="1"/>
    <col width="24" customWidth="1" min="2" max="2"/>
    <col width="4" customWidth="1" min="3" max="3"/>
    <col width="30" customWidth="1" min="4" max="4"/>
    <col width="40" customWidth="1" min="5" max="5"/>
  </cols>
  <sheetData>
    <row r="1" ht="38" customHeight="1">
      <c r="A1" s="2" t="inlineStr">
        <is>
          <t>Paramètres</t>
        </is>
      </c>
      <c r="B1" s="1" t="n"/>
      <c r="C1" s="1" t="n"/>
      <c r="D1" s="1" t="n"/>
      <c r="E1" s="18" t="inlineStr">
        <is>
          <t>⌂ Mode d'emploi</t>
        </is>
      </c>
    </row>
    <row r="2" ht="22" customHeight="1">
      <c r="A2" s="4" t="inlineStr">
        <is>
          <t>Réglages de l'analyse. Les cellules blanches sont à remplir.</t>
        </is>
      </c>
      <c r="B2" s="3" t="n"/>
      <c r="C2" s="3" t="n"/>
      <c r="D2" s="3" t="n"/>
      <c r="E2" s="3" t="n"/>
    </row>
    <row r="3" ht="18" customHeight="1"/>
    <row r="4" ht="22" customHeight="1">
      <c r="A4" s="5" t="inlineStr">
        <is>
          <t>Votre analyse</t>
        </is>
      </c>
      <c r="B4" s="6" t="n"/>
    </row>
    <row r="5">
      <c r="A5" s="96" t="inlineStr">
        <is>
          <t>Nom de l'entreprise</t>
        </is>
      </c>
      <c r="B5" s="97" t="n"/>
    </row>
    <row r="6">
      <c r="A6" s="96" t="inlineStr">
        <is>
          <t>Devise (coût des actions)</t>
        </is>
      </c>
      <c r="B6" s="98" t="inlineStr">
        <is>
          <t>MAD</t>
        </is>
      </c>
    </row>
    <row r="7" ht="44" customHeight="1">
      <c r="A7" s="96" t="inlineStr">
        <is>
          <t>Périmètre analysé (processus ou produit)</t>
        </is>
      </c>
      <c r="B7" s="97" t="n"/>
    </row>
    <row r="8">
      <c r="A8" s="96" t="inlineStr">
        <is>
          <t>Date de référence (vide = aujourd'hui)</t>
        </is>
      </c>
      <c r="B8" s="99" t="n"/>
    </row>
    <row r="9">
      <c r="A9" s="96" t="inlineStr">
        <is>
          <t>Alerte échéance (jours)</t>
        </is>
      </c>
      <c r="B9" s="97" t="n">
        <v>7</v>
      </c>
    </row>
    <row r="11" ht="22" customHeight="1">
      <c r="A11" s="5" t="inlineStr">
        <is>
          <t>Règle de décision</t>
        </is>
      </c>
      <c r="B11" s="6" t="n"/>
      <c r="D11" s="39" t="inlineStr">
        <is>
          <t>Responsables</t>
        </is>
      </c>
    </row>
    <row r="12">
      <c r="A12" s="96" t="inlineStr">
        <is>
          <t>Gravité qui impose une action (G égale ou supérieure à)</t>
        </is>
      </c>
      <c r="B12" s="100" t="n">
        <v>9</v>
      </c>
      <c r="D12" s="101" t="n"/>
      <c r="E12" s="78" t="inlineStr">
        <is>
          <t>Un nom par ligne, avec la fonction entre parenthèses si besoin. Cette liste alimente la colonne Responsable de la feuille « AMDEC » et le filtre du plan d'actions.</t>
        </is>
      </c>
    </row>
    <row r="13">
      <c r="A13" s="96" t="inlineStr">
        <is>
          <t>IPR critique (égal ou supérieur à)</t>
        </is>
      </c>
      <c r="B13" s="100" t="n">
        <v>200</v>
      </c>
      <c r="D13" s="101" t="n"/>
    </row>
    <row r="14">
      <c r="A14" s="96" t="inlineStr">
        <is>
          <t>IPR qui impose une action (égal ou supérieur à)</t>
        </is>
      </c>
      <c r="B14" s="100" t="n">
        <v>100</v>
      </c>
      <c r="D14" s="101" t="n"/>
    </row>
    <row r="15">
      <c r="A15" s="96" t="inlineStr">
        <is>
          <t>IPR à surveiller (égal ou supérieur à)</t>
        </is>
      </c>
      <c r="B15" s="100" t="n">
        <v>50</v>
      </c>
      <c r="D15" s="101" t="n"/>
    </row>
    <row r="16">
      <c r="A16" s="96" t="inlineStr">
        <is>
          <t>Matrice G x O : zone rouge (G x O égal ou supérieur à)</t>
        </is>
      </c>
      <c r="B16" s="100" t="n">
        <v>40</v>
      </c>
      <c r="D16" s="101" t="n"/>
    </row>
    <row r="17">
      <c r="A17" s="96" t="inlineStr">
        <is>
          <t>Matrice G x O : zone orange (G x O égal ou supérieur à)</t>
        </is>
      </c>
      <c r="B17" s="100" t="n">
        <v>20</v>
      </c>
      <c r="D17" s="101" t="n"/>
    </row>
    <row r="18">
      <c r="A18" s="102" t="str">
        <f>IF(AND(p_ipr_watch&lt;p_ipr_act,p_ipr_act&lt;p_ipr_crit,p_go_orange&lt;p_go_red),"✓ Seuils cohérents","Les seuils doivent croître : surveillance &lt; action &lt; critique, et orange &lt; rouge.")</f>
        <v>✓ Seuils cohérents</v>
      </c>
      <c r="D18" s="101" t="n"/>
    </row>
    <row r="19">
      <c r="D19" s="101" t="n"/>
    </row>
    <row r="20" ht="22" customHeight="1">
      <c r="A20" s="5" t="inlineStr">
        <is>
          <t>Valeur utilisée par les formules</t>
        </is>
      </c>
      <c r="B20" s="6" t="n"/>
      <c r="D20" s="101" t="n"/>
    </row>
    <row r="21">
      <c r="A21" s="103" t="inlineStr">
        <is>
          <t>Date de référence retenue</t>
        </is>
      </c>
      <c r="B21" s="104">
        <f>IF(N(p_today_in)&gt;0,p_today_in,TODAY())</f>
        <v>46331.0</v>
      </c>
      <c r="D21" s="101" t="n"/>
    </row>
    <row r="22">
      <c r="D22" s="101" t="n"/>
    </row>
    <row r="23" ht="16" customHeight="1">
      <c r="A23" s="78" t="inlineStr">
        <is>
          <t>Les seuils par défaut (50, 100, 200 et gravité 9) sont des repères courants dans l'industrie, pas une norme. Fixez-les une fois pour toute l'analyse, avant de coter, et notez-les dans votre procédure.</t>
        </is>
      </c>
      <c r="D23" s="101" t="n"/>
    </row>
    <row r="24">
      <c r="D24" s="101" t="n"/>
    </row>
    <row r="25">
      <c r="D25" s="101" t="n"/>
    </row>
    <row r="26">
      <c r="D26" s="101" t="n"/>
    </row>
    <row r="27">
      <c r="D27" s="101" t="n"/>
    </row>
    <row r="28">
      <c r="D28" s="101" t="n"/>
    </row>
    <row r="29">
      <c r="D29" s="101" t="n"/>
    </row>
    <row r="30">
      <c r="D30" s="101" t="n"/>
    </row>
    <row r="31">
      <c r="D31" s="101" t="n"/>
    </row>
    <row r="32">
      <c r="D32" s="101" t="n"/>
    </row>
    <row r="33">
      <c r="D33" s="101" t="n"/>
    </row>
    <row r="34">
      <c r="D34" s="101" t="n"/>
    </row>
    <row r="35">
      <c r="D35" s="101" t="n"/>
    </row>
    <row r="36">
      <c r="D36" s="101" t="n"/>
    </row>
    <row r="37">
      <c r="D37" s="101" t="n"/>
    </row>
    <row r="38">
      <c r="D38" s="101" t="n"/>
    </row>
    <row r="39">
      <c r="D39" s="101" t="n"/>
    </row>
    <row r="40">
      <c r="D40" s="101" t="n"/>
    </row>
    <row r="41">
      <c r="D41" s="101" t="n"/>
    </row>
  </sheetData>
  <mergeCells count="2">
    <mergeCell ref="E12:E15"/>
    <mergeCell ref="A23:B25"/>
  </mergeCells>
  <dataValidations count="9">
    <dataValidation sqref="B6"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8" showDropDown="0" showInputMessage="1" showErrorMessage="1" allowBlank="1" errorTitle="Date de référence" error="Facultatif. Date utilisée pour dire si une action est en retard. Vide = date du jour." promptTitle="Date de référence" prompt="Facultatif. Date utilisée pour dire si une action est en retard. Vide = date du jour." type="date" operator="between">
      <formula1>36526</formula1>
      <formula2>73051</formula2>
    </dataValidation>
    <dataValidation sqref="B9" showDropDown="0" showInputMessage="1" showErrorMessage="1" allowBlank="1" errorTitle="Alerte échéance" error="Nombre de jours avant l'échéance à partir duquel une action passe en « Échéance proche »." promptTitle="Alerte échéance" prompt="Nombre de jours avant l'échéance à partir duquel une action passe en « Échéance proche »." type="whole" operator="between">
      <formula1>0</formula1>
      <formula2>365</formula2>
    </dataValidation>
    <dataValidation sqref="B12" showDropDown="0" showInputMessage="1" showErrorMessage="1" allowBlank="1" errorTitle="Gravité qui impose une action (G" error="Une gravité à ce niveau ou plus classe le mode en Critique, quel que soit l'IPR. 9 par défaut (sécurité, réglementation)." promptTitle="Gravité qui impose une action (G" prompt="Une gravité à ce niveau ou plus classe le mode en Critique, quel que soit l'IPR. 9 par défaut (sécurité, réglementation)." type="whole" operator="between">
      <formula1>1</formula1>
      <formula2>10</formula2>
    </dataValidation>
    <dataValidation sqref="B13" showDropDown="0" showInputMessage="1" showErrorMessage="1" allowBlank="1" errorTitle="IPR critique (égal ou supérieur " error="IPR à partir duquel un mode est Critique. 200 par défaut." promptTitle="IPR critique (égal ou supérieur " prompt="IPR à partir duquel un mode est Critique. 200 par défaut." type="whole" operator="between">
      <formula1>1</formula1>
      <formula2>1000</formula2>
    </dataValidation>
    <dataValidation sqref="B14" showDropDown="0" showInputMessage="1" showErrorMessage="1" allowBlank="1" errorTitle="IPR qui impose une action (égal " error="IPR à partir duquel un mode est Élevé et demande une action. 100 par défaut." promptTitle="IPR qui impose une action (égal " prompt="IPR à partir duquel un mode est Élevé et demande une action. 100 par défaut." type="whole" operator="between">
      <formula1>1</formula1>
      <formula2>1000</formula2>
    </dataValidation>
    <dataValidation sqref="B15" showDropDown="0" showInputMessage="1" showErrorMessage="1" allowBlank="1" errorTitle="IPR à surveiller (égal ou supéri" error="IPR à partir duquel un mode est Moyen. 50 par défaut." promptTitle="IPR à surveiller (égal ou supéri" prompt="IPR à partir duquel un mode est Moyen. 50 par défaut." type="whole" operator="between">
      <formula1>1</formula1>
      <formula2>1000</formula2>
    </dataValidation>
    <dataValidation sqref="B16" showDropDown="0" showInputMessage="1" showErrorMessage="1" allowBlank="1" errorTitle="Matrice G x O : zone rouge (G x " error="Produit gravité x occurrence colorié en rouge dans la matrice. 40 par défaut." promptTitle="Matrice G x O : zone rouge (G x " prompt="Produit gravité x occurrence colorié en rouge dans la matrice. 40 par défaut." type="whole" operator="between">
      <formula1>1</formula1>
      <formula2>100</formula2>
    </dataValidation>
    <dataValidation sqref="B17" showDropDown="0" showInputMessage="1" showErrorMessage="1" allowBlank="1" errorTitle="Matrice G x O : zone orange (G x" error="Produit gravité x occurrence colorié en orange dans la matrice. 20 par défaut." promptTitle="Matrice G x O : zone orange (G x" prompt="Produit gravité x occurrence colorié en orange dans la matrice. 20 par défaut." type="whole" operator="between">
      <formula1>1</formula1>
      <formula2>100</formula2>
    </dataValidation>
  </dataValidations>
  <hyperlinks>
    <hyperlink ref="E1" location="'Mode d''emploi'!A1"/>
  </hyperlinks>
  <printOptions horizontalCentered="1"/>
  <pageMargins left="0.4" right="0.4" top="0.5" bottom="0.5" header="0.5" footer="0.5"/>
  <pageSetup orientation="portrait" paperSize="9" fitToHeight="0" fitToWidth="1"/>
</worksheet>
</file>

<file path=xl/worksheets/sheet9.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05" t="n"/>
      <c r="B1" s="105" t="n"/>
      <c r="C1" s="105" t="n"/>
      <c r="D1" s="105" t="n"/>
      <c r="E1" s="105" t="n"/>
      <c r="F1" s="105" t="n"/>
    </row>
    <row r="2" ht="34" customHeight="1">
      <c r="A2" s="105" t="n"/>
      <c r="B2" s="106" t="inlineStr">
        <is>
          <t>Qualis ERP</t>
        </is>
      </c>
      <c r="C2" s="107" t="n"/>
      <c r="D2" s="107" t="n"/>
      <c r="E2" s="107" t="n"/>
      <c r="F2" s="105" t="n"/>
    </row>
    <row r="3">
      <c r="A3" s="105" t="n"/>
      <c r="B3" s="108" t="inlineStr">
        <is>
          <t>Les modes critiques de l'AMDEC suivis jusqu'à l'efficacité de l'action.</t>
        </is>
      </c>
      <c r="F3" s="105" t="n"/>
    </row>
    <row r="4" ht="46" customHeight="1">
      <c r="A4" s="105" t="n"/>
      <c r="B4" s="109" t="inlineStr">
        <is>
          <t>Ce fichier tient l'analyse AMDEC elle-même, et il le fait bien. Qualis ERP n'a pas de module AMDEC : il prend le relais après, quand un mode critique devient une action corrective à mener, à prouver et à vérifier. Voici ce que chacun fait, et ce que vous payez, ou pas.</t>
        </is>
      </c>
      <c r="F4" s="105" t="n"/>
    </row>
    <row r="5">
      <c r="A5" s="105" t="n"/>
      <c r="B5" s="105" t="n"/>
      <c r="C5" s="105" t="n"/>
      <c r="D5" s="105" t="n"/>
      <c r="E5" s="105" t="n"/>
      <c r="F5" s="105" t="n"/>
    </row>
    <row r="6" ht="22" customHeight="1">
      <c r="A6" s="105" t="n"/>
      <c r="B6" s="110" t="inlineStr">
        <is>
          <t>Ce que ce fichier fait bien</t>
        </is>
      </c>
      <c r="C6" s="111" t="n"/>
      <c r="D6" s="111" t="n"/>
      <c r="E6" s="111" t="n"/>
      <c r="F6" s="105" t="n"/>
    </row>
    <row r="7" ht="30" customHeight="1">
      <c r="A7" s="105" t="n"/>
      <c r="B7" s="112" t="inlineStr">
        <is>
          <t>✓  Il calcule l'IPR et la criticité, et applique la règle de gravité qui évite de laisser passer un risque sécurité à faible IPR.</t>
        </is>
      </c>
      <c r="F7" s="105" t="n"/>
    </row>
    <row r="8" ht="30" customHeight="1">
      <c r="A8" s="105" t="n"/>
      <c r="B8" s="112" t="inlineStr">
        <is>
          <t>✓  Il suit chaque action jusqu'à la réévaluation, et montre le gain réel sur l'IPR, le Pareto et la matrice G x O.</t>
        </is>
      </c>
      <c r="F8" s="105" t="n"/>
    </row>
    <row r="9" ht="30" customHeight="1">
      <c r="A9" s="105" t="n"/>
      <c r="B9" s="112" t="inlineStr">
        <is>
          <t>✓  Il est gratuit, sans macro, et se lit sur n'importe quel ordinateur, y compris chez un client qui audite votre AMDEC.</t>
        </is>
      </c>
      <c r="F9" s="105" t="n"/>
    </row>
    <row r="10">
      <c r="A10" s="105" t="n"/>
      <c r="B10" s="105" t="n"/>
      <c r="C10" s="105" t="n"/>
      <c r="D10" s="105" t="n"/>
      <c r="E10" s="105" t="n"/>
      <c r="F10" s="105" t="n"/>
    </row>
    <row r="11" ht="22" customHeight="1">
      <c r="A11" s="105" t="n"/>
      <c r="B11" s="110" t="inlineStr">
        <is>
          <t>Là où un tableur atteint ses limites</t>
        </is>
      </c>
      <c r="C11" s="111" t="n"/>
      <c r="D11" s="111" t="n"/>
      <c r="E11" s="111" t="n"/>
      <c r="F11" s="105" t="n"/>
    </row>
    <row r="12" ht="30" customHeight="1">
      <c r="A12" s="105" t="n"/>
      <c r="B12" s="113" t="inlineStr">
        <is>
          <t>•  Les actions vivent dans le fichier : personne n'est prévenu quand on lui en confie une, il faut ouvrir le fichier pour le savoir.</t>
        </is>
      </c>
      <c r="F12" s="105" t="n"/>
    </row>
    <row r="13" ht="30" customHeight="1">
      <c r="A13" s="105" t="n"/>
      <c r="B13" s="113" t="inlineStr">
        <is>
          <t>•  Une action « Réalisée » ne dit pas comment on l'a vérifiée : pas de preuve jointe, pas de vérificateur, pas de résultat d'efficacité.</t>
        </is>
      </c>
      <c r="F13" s="105" t="n"/>
    </row>
    <row r="14" ht="30" customHeight="1">
      <c r="A14" s="105" t="n"/>
      <c r="B14" s="113" t="inlineStr">
        <is>
          <t>•  Les non-conformités et réclamations qui devraient faire remonter l'occurrence d'un mode sont tenues ailleurs, sans lien avec l'AMDEC.</t>
        </is>
      </c>
      <c r="F14" s="105" t="n"/>
    </row>
    <row r="15" ht="30" customHeight="1">
      <c r="A15" s="105" t="n"/>
      <c r="B15" s="113" t="inlineStr">
        <is>
          <t>•  Aucune trace de qui a changé une note ou une échéance : en audit, l'historique repose sur les copies datées du fichier.</t>
        </is>
      </c>
      <c r="F15" s="105" t="n"/>
    </row>
    <row r="16">
      <c r="A16" s="105" t="n"/>
      <c r="B16" s="105" t="n"/>
      <c r="C16" s="105" t="n"/>
      <c r="D16" s="105" t="n"/>
      <c r="E16" s="105" t="n"/>
      <c r="F16" s="105" t="n"/>
    </row>
    <row r="17" ht="22" customHeight="1">
      <c r="A17" s="105" t="n"/>
      <c r="B17" s="110" t="inlineStr">
        <is>
          <t>Ce fichier et Qualis ERP, côte à côte</t>
        </is>
      </c>
      <c r="C17" s="111" t="n"/>
      <c r="D17" s="111" t="n"/>
      <c r="E17" s="111" t="n"/>
      <c r="F17" s="105" t="n"/>
    </row>
    <row r="18" ht="22" customHeight="1">
      <c r="A18" s="105" t="n"/>
      <c r="B18" s="114" t="inlineStr"/>
      <c r="C18" s="115" t="inlineStr">
        <is>
          <t>Ce fichier Excel</t>
        </is>
      </c>
      <c r="D18" s="116" t="inlineStr">
        <is>
          <t>Qualis ERP</t>
        </is>
      </c>
      <c r="E18" s="116" t="inlineStr">
        <is>
          <t>Offre</t>
        </is>
      </c>
      <c r="F18" s="105" t="n"/>
    </row>
    <row r="19" ht="32" customHeight="1">
      <c r="A19" s="105" t="n"/>
      <c r="B19" s="117" t="inlineStr">
        <is>
          <t>Analyse AMDEC</t>
        </is>
      </c>
      <c r="C19" s="118" t="inlineStr">
        <is>
          <t>Tableau complet : étapes, modes, effets, causes, contrôles, cotation</t>
        </is>
      </c>
      <c r="D19" s="119" t="inlineStr">
        <is>
          <t>Pas de module AMDEC : gardez ce fichier pour l'analyse</t>
        </is>
      </c>
      <c r="E19" s="120" t="inlineStr">
        <is>
          <t>Non inclus</t>
        </is>
      </c>
      <c r="F19" s="105" t="n"/>
    </row>
    <row r="20" ht="32" customHeight="1">
      <c r="A20" s="105" t="n"/>
      <c r="B20" s="117" t="inlineStr">
        <is>
          <t>Cotation du risque</t>
        </is>
      </c>
      <c r="C20" s="118" t="inlineStr">
        <is>
          <t>IPR = G x O x D, criticité et règle de gravité</t>
        </is>
      </c>
      <c r="D20" s="119" t="inlineStr">
        <is>
          <t>Gravité, occurrence et détection de 1 à 10 sur chaque CAPA, IPR et niveau de risque calculés</t>
        </is>
      </c>
      <c r="E20" s="120" t="inlineStr">
        <is>
          <t>Complete</t>
        </is>
      </c>
      <c r="F20" s="105" t="n"/>
    </row>
    <row r="21" ht="32" customHeight="1">
      <c r="A21" s="105" t="n"/>
      <c r="B21" s="117" t="inlineStr">
        <is>
          <t>Actions</t>
        </is>
      </c>
      <c r="C21" s="118" t="inlineStr">
        <is>
          <t>Responsable, échéance, statut dans le tableau</t>
        </is>
      </c>
      <c r="D21" s="119" t="inlineStr">
        <is>
          <t>Actions correctives et préventives avec responsable, échéance, statut et preuves jointes</t>
        </is>
      </c>
      <c r="E21" s="120" t="inlineStr">
        <is>
          <t>Complete</t>
        </is>
      </c>
      <c r="F21" s="105" t="n"/>
    </row>
    <row r="22" ht="32" customHeight="1">
      <c r="A22" s="105" t="n"/>
      <c r="B22" s="117" t="inlineStr">
        <is>
          <t>Efficacité</t>
        </is>
      </c>
      <c r="C22" s="118" t="inlineStr">
        <is>
          <t>Recotation G', O', D' après action</t>
        </is>
      </c>
      <c r="D22" s="119" t="inlineStr">
        <is>
          <t>Vérification : méthode, critères, échéance, vérificateur, résultat efficace ou non</t>
        </is>
      </c>
      <c r="E22" s="120" t="inlineStr">
        <is>
          <t>Complete</t>
        </is>
      </c>
      <c r="F22" s="105" t="n"/>
    </row>
    <row r="23" ht="32" customHeight="1">
      <c r="A23" s="105" t="n"/>
      <c r="B23" s="117" t="inlineStr">
        <is>
          <t>Causes</t>
        </is>
      </c>
      <c r="C23" s="118" t="inlineStr">
        <is>
          <t>Une cause par ligne</t>
        </is>
      </c>
      <c r="D23" s="119" t="inlineStr">
        <is>
          <t>5 pourquoi, Ishikawa et Pareto dans la CAPA</t>
        </is>
      </c>
      <c r="E23" s="120" t="inlineStr">
        <is>
          <t>Complete</t>
        </is>
      </c>
      <c r="F23" s="105" t="n"/>
    </row>
    <row r="24" ht="32" customHeight="1">
      <c r="A24" s="105" t="n"/>
      <c r="B24" s="117" t="inlineStr">
        <is>
          <t>Non-conformités</t>
        </is>
      </c>
      <c r="C24" s="118" t="inlineStr">
        <is>
          <t>Non reliées</t>
        </is>
      </c>
      <c r="D24" s="119" t="inlineStr">
        <is>
          <t>Rapport de non-conformité qui ouvre une CAPA liée, inspections de réception et finales</t>
        </is>
      </c>
      <c r="E24" s="120" t="inlineStr">
        <is>
          <t>Complete</t>
        </is>
      </c>
      <c r="F24" s="105" t="n"/>
    </row>
    <row r="25" ht="32" customHeight="1">
      <c r="A25" s="105" t="n"/>
      <c r="B25" s="117" t="inlineStr">
        <is>
          <t>Historique</t>
        </is>
      </c>
      <c r="C25" s="118" t="inlineStr">
        <is>
          <t>Non</t>
        </is>
      </c>
      <c r="D25" s="119" t="inlineStr">
        <is>
          <t>Versions de chaque CAPA et journal d'audit : qui a modifié quoi, et quand</t>
        </is>
      </c>
      <c r="E25" s="120" t="inlineStr">
        <is>
          <t>Complete</t>
        </is>
      </c>
      <c r="F25" s="105" t="n"/>
    </row>
    <row r="26">
      <c r="A26" s="105" t="n"/>
      <c r="B26" s="105" t="n"/>
      <c r="C26" s="105" t="n"/>
      <c r="D26" s="105" t="n"/>
      <c r="E26" s="105" t="n"/>
      <c r="F26" s="105" t="n"/>
    </row>
    <row r="27" ht="22" customHeight="1">
      <c r="A27" s="105" t="n"/>
      <c r="B27" s="110" t="inlineStr">
        <is>
          <t>Pourquoi Qualis Start est gratuit, et le reste</t>
        </is>
      </c>
      <c r="C27" s="111" t="n"/>
      <c r="D27" s="111" t="n"/>
      <c r="E27" s="111" t="n"/>
      <c r="F27" s="105" t="n"/>
    </row>
    <row r="28" ht="30" customHeight="1">
      <c r="A28" s="105" t="n"/>
      <c r="B28" s="113" t="inlineStr">
        <is>
          <t>→  Qualis Start est gratuit à vie, sans carte bancaire et sans limite d'utilisateurs : articles, unités, entrepôts, emplacements, stock en temps réel, lots et numéros de série, clients, fournisseurs, personnel, tâches.</t>
        </is>
      </c>
      <c r="F28" s="105" t="n"/>
    </row>
    <row r="29" ht="30" customHeight="1">
      <c r="A29" s="105" t="n"/>
      <c r="B29" s="113" t="inlineStr">
        <is>
          <t>→  Nous le donnons parce que le stock et les articles sont la base de tout le reste : une entreprise qui y tient ses articles et ses lots ajoute la qualité le jour où elle en a besoin, sans ressaisir ses références.</t>
        </is>
      </c>
      <c r="F29" s="105" t="n"/>
    </row>
    <row r="30" ht="30" customHeight="1">
      <c r="A30" s="105" t="n"/>
      <c r="B30" s="113" t="inlineStr">
        <is>
          <t>→  Les modules de production, d'achat, de vente, de facturation, de qualité et de maintenance font partie de Qualis Complete, payé par siège bureau, au mois ou à l'année, à prix public. Les opérateurs d'atelier ont un siège moins cher.</t>
        </is>
      </c>
      <c r="F30" s="105" t="n"/>
    </row>
    <row r="31">
      <c r="A31" s="105" t="n"/>
      <c r="B31" s="105" t="n"/>
      <c r="C31" s="105" t="n"/>
      <c r="D31" s="105" t="n"/>
      <c r="E31" s="105" t="n"/>
      <c r="F31" s="105" t="n"/>
    </row>
    <row r="32" ht="22" customHeight="1">
      <c r="A32" s="105" t="n"/>
      <c r="B32" s="110" t="inlineStr">
        <is>
          <t>Passer du fichier à Qualis ERP</t>
        </is>
      </c>
      <c r="C32" s="111" t="n"/>
      <c r="D32" s="111" t="n"/>
      <c r="E32" s="111" t="n"/>
      <c r="F32" s="105" t="n"/>
    </row>
    <row r="33" ht="18" customHeight="1">
      <c r="A33" s="105" t="n"/>
      <c r="B33" s="113" t="inlineStr">
        <is>
          <t xml:space="preserve">  1.  Créez un compte gratuit sur qualis-erp.com, en deux minutes, sans carte bancaire.</t>
        </is>
      </c>
      <c r="F33" s="105" t="n"/>
    </row>
    <row r="34" ht="30" customHeight="1">
      <c r="A34" s="105" t="n"/>
      <c r="B34" s="113" t="inlineStr">
        <is>
          <t xml:space="preserve">  2.  Gardez ce fichier pour l'analyse AMDEC : c'est l'outil adapté pour coter et classer les modes en séance de groupe.</t>
        </is>
      </c>
      <c r="F34" s="105" t="n"/>
    </row>
    <row r="35" ht="30" customHeight="1">
      <c r="A35" s="105" t="n"/>
      <c r="B35" s="113" t="inlineStr">
        <is>
          <t xml:space="preserve">  3.  Avec Qualis Complete, ouvrez une CAPA pour chaque mode Critique : cotation G, O, D, actions, responsables, échéances, puis vérification de l'efficacité.</t>
        </is>
      </c>
      <c r="F35" s="105" t="n"/>
    </row>
    <row r="36">
      <c r="A36" s="105" t="n"/>
      <c r="B36" s="105" t="n"/>
      <c r="C36" s="105" t="n"/>
      <c r="D36" s="105" t="n"/>
      <c r="E36" s="105" t="n"/>
      <c r="F36" s="105" t="n"/>
    </row>
    <row r="37" ht="38" customHeight="1">
      <c r="A37" s="105" t="n"/>
      <c r="B37" s="121" t="inlineStr">
        <is>
          <t>Créer un compte Qualis ERP gratuit  →</t>
        </is>
      </c>
      <c r="C37" s="122" t="n"/>
      <c r="D37" s="123" t="inlineStr">
        <is>
          <t>Voir les tarifs publics</t>
        </is>
      </c>
      <c r="E37" s="124" t="inlineStr">
        <is>
          <t>qualis-erp.com</t>
        </is>
      </c>
      <c r="F37" s="105" t="n"/>
    </row>
    <row r="38">
      <c r="A38" s="105" t="n"/>
      <c r="B38" s="105" t="n"/>
      <c r="C38" s="105" t="n"/>
      <c r="D38" s="105" t="n"/>
      <c r="E38" s="105" t="n"/>
      <c r="F38" s="105" t="n"/>
    </row>
    <row r="39" ht="40" customHeight="1">
      <c r="A39" s="105" t="n"/>
      <c r="B39" s="125" t="inlineStr">
        <is>
          <t>Qualis ERP est un ERP industriel en ligne, en français, pour les PME qui fabriquent sur stock ou à la commande. Édité par BERRYNOON SARLAU, Casablanca.</t>
        </is>
      </c>
      <c r="F39" s="105" t="n"/>
    </row>
    <row r="40">
      <c r="A40" s="105" t="n"/>
      <c r="B40" s="105" t="n"/>
      <c r="C40" s="105" t="n"/>
      <c r="D40" s="105" t="n"/>
      <c r="E40" s="105" t="n"/>
      <c r="F40" s="105" t="n"/>
    </row>
    <row r="41">
      <c r="A41" s="105" t="n"/>
      <c r="B41" s="105" t="n"/>
      <c r="C41" s="105" t="n"/>
      <c r="D41" s="105" t="n"/>
      <c r="E41" s="105" t="n"/>
      <c r="F41" s="105" t="n"/>
    </row>
    <row r="42">
      <c r="A42" s="105" t="n"/>
      <c r="B42" s="105" t="n"/>
      <c r="C42" s="105" t="n"/>
      <c r="D42" s="105" t="n"/>
      <c r="E42" s="105" t="n"/>
      <c r="F42" s="105" t="n"/>
    </row>
    <row r="43">
      <c r="A43" s="105" t="n"/>
      <c r="B43" s="105" t="n"/>
      <c r="C43" s="105" t="n"/>
      <c r="D43" s="105" t="n"/>
      <c r="E43" s="105" t="n"/>
      <c r="F43" s="105" t="n"/>
    </row>
    <row r="44">
      <c r="A44" s="105" t="n"/>
      <c r="B44" s="105" t="n"/>
      <c r="C44" s="105" t="n"/>
      <c r="D44" s="105" t="n"/>
      <c r="E44" s="105" t="n"/>
      <c r="F44" s="105" t="n"/>
    </row>
    <row r="45">
      <c r="A45" s="105" t="n"/>
      <c r="B45" s="105" t="n"/>
      <c r="C45" s="105" t="n"/>
      <c r="D45" s="105" t="n"/>
      <c r="E45" s="105" t="n"/>
      <c r="F45" s="105" t="n"/>
    </row>
    <row r="46">
      <c r="A46" s="105" t="n"/>
      <c r="B46" s="105" t="n"/>
      <c r="C46" s="105" t="n"/>
      <c r="D46" s="105" t="n"/>
      <c r="E46" s="105" t="n"/>
      <c r="F46" s="105" t="n"/>
    </row>
    <row r="47">
      <c r="A47" s="105" t="n"/>
      <c r="B47" s="105" t="n"/>
      <c r="C47" s="105" t="n"/>
      <c r="D47" s="105" t="n"/>
      <c r="E47" s="105" t="n"/>
      <c r="F47" s="105" t="n"/>
    </row>
    <row r="48">
      <c r="A48" s="105" t="n"/>
      <c r="B48" s="105" t="n"/>
      <c r="C48" s="105" t="n"/>
      <c r="D48" s="105" t="n"/>
      <c r="E48" s="105" t="n"/>
      <c r="F48" s="105" t="n"/>
    </row>
    <row r="49">
      <c r="A49" s="105" t="n"/>
      <c r="B49" s="105" t="n"/>
      <c r="C49" s="105" t="n"/>
      <c r="D49" s="105" t="n"/>
      <c r="E49" s="105" t="n"/>
      <c r="F49" s="105" t="n"/>
    </row>
    <row r="50">
      <c r="A50" s="105" t="n"/>
      <c r="B50" s="105" t="n"/>
      <c r="C50" s="105" t="n"/>
      <c r="D50" s="105" t="n"/>
      <c r="E50" s="105" t="n"/>
      <c r="F50" s="105" t="n"/>
    </row>
    <row r="51">
      <c r="A51" s="105" t="n"/>
      <c r="B51" s="105" t="n"/>
      <c r="C51" s="105" t="n"/>
      <c r="D51" s="105" t="n"/>
      <c r="E51" s="105" t="n"/>
      <c r="F51" s="105" t="n"/>
    </row>
    <row r="52">
      <c r="A52" s="105" t="n"/>
      <c r="B52" s="105" t="n"/>
      <c r="C52" s="105" t="n"/>
      <c r="D52" s="105" t="n"/>
      <c r="E52" s="105" t="n"/>
      <c r="F52" s="105" t="n"/>
    </row>
    <row r="53">
      <c r="A53" s="105" t="n"/>
      <c r="B53" s="105" t="n"/>
      <c r="C53" s="105" t="n"/>
      <c r="D53" s="105" t="n"/>
      <c r="E53" s="105" t="n"/>
      <c r="F53" s="105" t="n"/>
    </row>
    <row r="54">
      <c r="A54" s="105" t="n"/>
      <c r="B54" s="105" t="n"/>
      <c r="C54" s="105" t="n"/>
      <c r="D54" s="105" t="n"/>
      <c r="E54" s="105" t="n"/>
      <c r="F54" s="105" t="n"/>
    </row>
    <row r="55">
      <c r="A55" s="105" t="n"/>
      <c r="B55" s="105" t="n"/>
      <c r="C55" s="105" t="n"/>
      <c r="D55" s="105" t="n"/>
      <c r="E55" s="105" t="n"/>
      <c r="F55" s="105" t="n"/>
    </row>
    <row r="56">
      <c r="A56" s="105" t="n"/>
      <c r="B56" s="105" t="n"/>
      <c r="C56" s="105" t="n"/>
      <c r="D56" s="105" t="n"/>
      <c r="E56" s="105" t="n"/>
      <c r="F56" s="105" t="n"/>
    </row>
    <row r="57">
      <c r="A57" s="105" t="n"/>
      <c r="B57" s="105" t="n"/>
      <c r="C57" s="105" t="n"/>
      <c r="D57" s="105" t="n"/>
      <c r="E57" s="105" t="n"/>
      <c r="F57" s="105" t="n"/>
    </row>
    <row r="58">
      <c r="A58" s="105" t="n"/>
      <c r="B58" s="105" t="n"/>
      <c r="C58" s="105" t="n"/>
      <c r="D58" s="105" t="n"/>
      <c r="E58" s="105" t="n"/>
      <c r="F58" s="105" t="n"/>
    </row>
    <row r="59">
      <c r="A59" s="105" t="n"/>
      <c r="B59" s="105" t="n"/>
      <c r="C59" s="105" t="n"/>
      <c r="D59" s="105" t="n"/>
      <c r="E59" s="105" t="n"/>
      <c r="F59" s="105" t="n"/>
    </row>
    <row r="60">
      <c r="A60" s="105" t="n"/>
      <c r="B60" s="105" t="n"/>
      <c r="C60" s="105" t="n"/>
      <c r="D60" s="105" t="n"/>
      <c r="E60" s="105" t="n"/>
      <c r="F60" s="105" t="n"/>
    </row>
    <row r="61">
      <c r="A61" s="105" t="n"/>
      <c r="B61" s="105" t="n"/>
      <c r="C61" s="105" t="n"/>
      <c r="D61" s="105" t="n"/>
      <c r="E61" s="105" t="n"/>
      <c r="F61" s="105" t="n"/>
    </row>
    <row r="62">
      <c r="A62" s="105" t="n"/>
      <c r="B62" s="105" t="n"/>
      <c r="C62" s="105" t="n"/>
      <c r="D62" s="105" t="n"/>
      <c r="E62" s="105" t="n"/>
      <c r="F62" s="105" t="n"/>
    </row>
    <row r="63">
      <c r="A63" s="105" t="n"/>
      <c r="B63" s="105" t="n"/>
      <c r="C63" s="105" t="n"/>
      <c r="D63" s="105" t="n"/>
      <c r="E63" s="105" t="n"/>
      <c r="F63" s="105" t="n"/>
    </row>
    <row r="64">
      <c r="A64" s="105" t="n"/>
      <c r="B64" s="105" t="n"/>
      <c r="C64" s="105" t="n"/>
      <c r="D64" s="105" t="n"/>
      <c r="E64" s="105" t="n"/>
      <c r="F64" s="105" t="n"/>
    </row>
    <row r="65">
      <c r="A65" s="105" t="n"/>
      <c r="B65" s="105" t="n"/>
      <c r="C65" s="105" t="n"/>
      <c r="D65" s="105" t="n"/>
      <c r="E65" s="105" t="n"/>
      <c r="F65" s="105" t="n"/>
    </row>
    <row r="66">
      <c r="A66" s="105" t="n"/>
      <c r="B66" s="105" t="n"/>
      <c r="C66" s="105" t="n"/>
      <c r="D66" s="105" t="n"/>
      <c r="E66" s="105" t="n"/>
      <c r="F66" s="105" t="n"/>
    </row>
    <row r="67">
      <c r="A67" s="105" t="n"/>
      <c r="B67" s="105" t="n"/>
      <c r="C67" s="105" t="n"/>
      <c r="D67" s="105" t="n"/>
      <c r="E67" s="105" t="n"/>
      <c r="F67" s="105" t="n"/>
    </row>
    <row r="68">
      <c r="A68" s="105" t="n"/>
      <c r="B68" s="105" t="n"/>
      <c r="C68" s="105" t="n"/>
      <c r="D68" s="105" t="n"/>
      <c r="E68" s="105" t="n"/>
      <c r="F68" s="105" t="n"/>
    </row>
    <row r="69">
      <c r="A69" s="105" t="n"/>
      <c r="B69" s="105" t="n"/>
      <c r="C69" s="105" t="n"/>
      <c r="D69" s="105" t="n"/>
      <c r="E69" s="105" t="n"/>
      <c r="F69" s="105" t="n"/>
    </row>
    <row r="70">
      <c r="A70" s="105" t="n"/>
      <c r="B70" s="105" t="n"/>
      <c r="C70" s="105" t="n"/>
      <c r="D70" s="105" t="n"/>
      <c r="E70" s="105" t="n"/>
      <c r="F70" s="105" t="n"/>
    </row>
    <row r="71">
      <c r="A71" s="105" t="n"/>
      <c r="B71" s="105" t="n"/>
      <c r="C71" s="105" t="n"/>
      <c r="D71" s="105" t="n"/>
      <c r="E71" s="105" t="n"/>
      <c r="F71" s="105" t="n"/>
    </row>
    <row r="72">
      <c r="A72" s="105" t="n"/>
      <c r="B72" s="105" t="n"/>
      <c r="C72" s="105" t="n"/>
      <c r="D72" s="105" t="n"/>
      <c r="E72" s="105" t="n"/>
      <c r="F72" s="105" t="n"/>
    </row>
    <row r="73">
      <c r="A73" s="105" t="n"/>
      <c r="B73" s="105" t="n"/>
      <c r="C73" s="105" t="n"/>
      <c r="D73" s="105" t="n"/>
      <c r="E73" s="105" t="n"/>
      <c r="F73" s="105" t="n"/>
    </row>
    <row r="74">
      <c r="A74" s="105" t="n"/>
      <c r="B74" s="105" t="n"/>
      <c r="C74" s="105" t="n"/>
      <c r="D74" s="105" t="n"/>
      <c r="E74" s="105" t="n"/>
      <c r="F74" s="105" t="n"/>
    </row>
    <row r="75">
      <c r="A75" s="105" t="n"/>
      <c r="B75" s="105" t="n"/>
      <c r="C75" s="105" t="n"/>
      <c r="D75" s="105" t="n"/>
      <c r="E75" s="105" t="n"/>
      <c r="F75" s="105" t="n"/>
    </row>
    <row r="76">
      <c r="A76" s="105" t="n"/>
      <c r="B76" s="105" t="n"/>
      <c r="C76" s="105" t="n"/>
      <c r="D76" s="105" t="n"/>
      <c r="E76" s="105" t="n"/>
      <c r="F76" s="105" t="n"/>
    </row>
    <row r="77">
      <c r="A77" s="105" t="n"/>
      <c r="B77" s="105" t="n"/>
      <c r="C77" s="105" t="n"/>
      <c r="D77" s="105" t="n"/>
      <c r="E77" s="105" t="n"/>
      <c r="F77" s="105" t="n"/>
    </row>
    <row r="78">
      <c r="A78" s="105" t="n"/>
      <c r="B78" s="105" t="n"/>
      <c r="C78" s="105" t="n"/>
      <c r="D78" s="105" t="n"/>
      <c r="E78" s="105" t="n"/>
      <c r="F78" s="105" t="n"/>
    </row>
    <row r="79">
      <c r="A79" s="105" t="n"/>
      <c r="B79" s="105" t="n"/>
      <c r="C79" s="105" t="n"/>
      <c r="D79" s="105" t="n"/>
      <c r="E79" s="105" t="n"/>
      <c r="F79" s="105" t="n"/>
    </row>
  </sheetData>
  <mergeCells count="17">
    <mergeCell ref="B9:E9"/>
    <mergeCell ref="B8:E8"/>
    <mergeCell ref="B35:E35"/>
    <mergeCell ref="B4:E4"/>
    <mergeCell ref="B12:E12"/>
    <mergeCell ref="B13:E13"/>
    <mergeCell ref="B37:C37"/>
    <mergeCell ref="B30:E30"/>
    <mergeCell ref="B15:E15"/>
    <mergeCell ref="B7:E7"/>
    <mergeCell ref="B29:E29"/>
    <mergeCell ref="B33:E33"/>
    <mergeCell ref="B3:E3"/>
    <mergeCell ref="B39:E39"/>
    <mergeCell ref="B34:E34"/>
    <mergeCell ref="B28:E28"/>
    <mergeCell ref="B14:E14"/>
  </mergeCells>
  <hyperlinks>
    <hyperlink xmlns:r="http://schemas.openxmlformats.org/officeDocument/2006/relationships" ref="B37" r:id="rId1"/>
    <hyperlink xmlns:r="http://schemas.openxmlformats.org/officeDocument/2006/relationships" ref="D37" r:id="rId2"/>
    <hyperlink xmlns:r="http://schemas.openxmlformats.org/officeDocument/2006/relationships" ref="E37"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AMDEC Excel</dc:title>
  <dc:subject xmlns:dc="http://purl.org/dc/elements/1.1/">Modèle gratuit d'AMDEC processus (FMEA) : IPR, criticité, plan d'actions</dc:subject>
  <dc:language xmlns:dc="http://purl.org/dc/elements/1.1/">fr-FR</dc:language>
  <dcterms:created xmlns:dcterms="http://purl.org/dc/terms/" xmlns:xsi="http://www.w3.org/2001/XMLSchema-instance" xsi:type="dcterms:W3CDTF">2026-11-05T21:42:25Z</dcterms:created>
  <dcterms:modified xmlns:dcterms="http://purl.org/dc/terms/" xmlns:xsi="http://www.w3.org/2001/XMLSchema-instance" xsi:type="dcterms:W3CDTF">2026-11-05T21:42:30Z</dcterms:modified>
  <cp:keywords>amdec, amdec excel, fmea, ipr, criticité, gravité occurrence détection, plan d'actions, excel</cp:keywords>
</cp:coreProperties>
</file>