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Ordres de fabrication" sheetId="3" state="visible" r:id="rId3"/>
    <sheet xmlns:r="http://schemas.openxmlformats.org/officeDocument/2006/relationships" name="Gantt" sheetId="4" state="visible" r:id="rId4"/>
    <sheet xmlns:r="http://schemas.openxmlformats.org/officeDocument/2006/relationships" name="Charge par poste" sheetId="5" state="visible" r:id="rId5"/>
    <sheet xmlns:r="http://schemas.openxmlformats.org/officeDocument/2006/relationships" name="Gammes" sheetId="6" state="visible" r:id="rId6"/>
    <sheet xmlns:r="http://schemas.openxmlformats.org/officeDocument/2006/relationships" name="Postes de travail"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of_num">'Ordres de fabrication'!$A$6:$A$305</definedName>
    <definedName name="of_ref">'Ordres de fabrication'!$B$6:$B$305</definedName>
    <definedName name="of_des">'Ordres de fabrication'!$C$6:$C$305</definedName>
    <definedName name="of_qty">'Ordres de fabrication'!$D$6:$D$305</definedName>
    <definedName name="of_need">'Ordres de fabrication'!$F$6:$F$305</definedName>
    <definedName name="of_status">'Ordres de fabrication'!$G$6:$G$305</definedName>
    <definedName name="of_poste">'Ordres de fabrication'!$I$6:$I$305</definedName>
    <definedName name="of_hours">'Ordres de fabrication'!$J$6:$J$305</definedName>
    <definedName name="of_start">'Ordres de fabrication'!$L$6:$L$305</definedName>
    <definedName name="of_end">'Ordres de fabrication'!$M$6:$M$305</definedName>
    <definedName name="of_etat">'Ordres de fabrication'!$O$6:$O$305</definedName>
    <definedName name="of_done">'Ordres de fabrication'!$P$6:$P$305</definedName>
    <definedName name="of_cost">'Ordres de fabrication'!$R$6:$R$305</definedName>
    <definedName name="of_check">'Ordres de fabrication'!$S$6:$S$305</definedName>
    <definedName name="of_hpd">'Ordres de fabrication'!$T$6:$T$305</definedName>
    <definedName name="of_rank">'Ordres de fabrication'!$U$6:$U$305</definedName>
    <definedName name="art_ref">'Gammes'!$A$6:$A$305</definedName>
    <definedName name="art_des">'Gammes'!$B$6:$B$305</definedName>
    <definedName name="art_poste">'Gammes'!$C$6:$C$305</definedName>
    <definedName name="art_setup">'Gammes'!$D$6:$D$305</definedName>
    <definedName name="art_cycle">'Gammes'!$E$6:$E$305</definedName>
    <definedName name="po_code">'Postes de travail'!$A$6:$A$25</definedName>
    <definedName name="po_name">'Postes de travail'!$B$6:$B$25</definedName>
    <definedName name="po_cap">'Postes de travail'!$E$6:$E$25</definedName>
    <definedName name="po_rate">'Postes de travail'!$F$6:$F$25</definedName>
    <definedName name="p_company">'Paramètres'!$B$5</definedName>
    <definedName name="p_start_in">'Paramètres'!$B$7</definedName>
    <definedName name="p_days">'Paramètres'!$B$8</definedName>
    <definedName name="p_margin">'Paramètres'!$B$9</definedName>
    <definedName name="p_gantt_in">'Paramètres'!$B$10</definedName>
    <definedName name="p_start">'Paramètres'!$B$13</definedName>
    <definedName name="p_weekend">'Paramètres'!$B$14</definedName>
    <definedName name="p_monday">'Paramètres'!$B$15</definedName>
    <definedName name="p_gantt">'Paramètres'!$B$16</definedName>
    <definedName name="p_holidays">'Paramètres'!$D$6:$D$45</definedName>
    <definedName name="p_currency">'Paramètres'!$B$6</definedName>
    <definedName name="_xlnm._FilterDatabase" localSheetId="2" hidden="1">'Ordres de fabrication'!$A$5:$U$305</definedName>
    <definedName name="_xlnm.Print_Titles" localSheetId="2">'Ordres de fabrication'!$5:$5</definedName>
    <definedName name="_xlnm.Print_Titles" localSheetId="3">'Gantt'!$5:$6</definedName>
    <definedName name="_xlnm.Print_Area" localSheetId="4">'Charge par poste'!$A$1:$N$80</definedName>
    <definedName name="_xlnm.Print_Titles" localSheetId="5">'Gammes'!$5:$5</definedName>
    <definedName name="_xlnm.Print_Titles" localSheetId="6">'Postes de travail'!$5:$5</definedName>
  </definedNames>
  <calcPr calcId="124519" fullCalcOnLoad="1"/>
</workbook>
</file>

<file path=xl/styles.xml><?xml version="1.0" encoding="utf-8"?>
<styleSheet xmlns="http://schemas.openxmlformats.org/spreadsheetml/2006/main">
  <numFmts count="12">
    <numFmt numFmtId="164" formatCode="yyyy-mm-dd"/>
    <numFmt numFmtId="165" formatCode="dd/mm/yyyy"/>
    <numFmt numFmtId="166" formatCode="#,##0.0"/>
    <numFmt numFmtId="167" formatCode="dd/mm/yyyy;;;"/>
    <numFmt numFmtId="168" formatCode="0;-0;0"/>
    <numFmt numFmtId="169" formatCode="0.0%"/>
    <numFmt numFmtId="170" formatCode="dd/mm"/>
    <numFmt numFmtId="171" formatCode="#,##0.0;-#,##0.0;"/>
    <numFmt numFmtId="172" formatCode="0.0;-0.0;"/>
    <numFmt numFmtId="173" formatCode="dd"/>
    <numFmt numFmtId="174" formatCode="dd/mm;;;"/>
    <numFmt numFmtId="175" formatCode=";;;@"/>
  </numFmts>
  <fonts count="40">
    <font>
      <name val="Calibri"/>
      <family val="2"/>
      <color theme="1"/>
      <sz val="11"/>
      <scheme val="minor"/>
    </font>
    <font>
      <name val="Calibri"/>
      <b val="1"/>
      <color rgb="FFFFFFFF"/>
      <sz val="18"/>
    </font>
    <font>
      <name val="Calibri"/>
      <i val="1"/>
      <color rgb="FF4D7C0F"/>
      <sz val="10"/>
    </font>
    <font>
      <name val="Calibri"/>
      <b val="1"/>
      <color rgb="FF0F172A"/>
      <sz val="12"/>
    </font>
    <font>
      <name val="Calibri"/>
      <b val="1"/>
      <color rgb="FF4D7C0F"/>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i val="1"/>
      <color rgb="FF64748B"/>
      <sz val="9"/>
    </font>
    <font>
      <name val="Calibri"/>
      <b val="1"/>
      <color rgb="FFFFFFFF"/>
      <sz val="10"/>
    </font>
    <font>
      <name val="Calibri"/>
      <color rgb="FF334155"/>
      <sz val="10"/>
    </font>
    <font>
      <name val="Calibri"/>
      <b val="1"/>
      <color rgb="FF64748B"/>
      <sz val="9"/>
    </font>
    <font>
      <name val="Calibri"/>
      <color rgb="FF64748B"/>
      <sz val="8"/>
    </font>
    <font>
      <name val="Calibri"/>
      <b val="1"/>
      <color rgb="FF64748B"/>
      <sz val="8"/>
    </font>
    <font>
      <name val="Calibri"/>
      <b val="1"/>
      <color rgb="FFFFFFFF"/>
      <sz val="8"/>
    </font>
    <font>
      <name val="Calibri"/>
      <b val="1"/>
      <color rgb="FF0F172A"/>
      <sz val="8"/>
    </font>
    <font>
      <name val="Calibri"/>
      <b val="1"/>
      <color rgb="FFB91C1C"/>
      <sz val="9"/>
    </font>
    <font>
      <name val="Calibri"/>
      <b val="1"/>
      <color rgb="FFFFFFFF"/>
      <sz val="9"/>
    </font>
    <font>
      <name val="Calibri"/>
      <b val="1"/>
      <color rgb="FF0F172A"/>
      <sz val="9"/>
    </font>
    <font>
      <name val="Calibri"/>
      <b val="1"/>
      <color rgb="FF4D7C0F"/>
      <sz val="20"/>
    </font>
    <font>
      <name val="Calibri"/>
      <i val="1"/>
      <color rgb="FF94A3B8"/>
      <sz val="8"/>
    </font>
    <font>
      <name val="Calibri"/>
      <b val="1"/>
      <color rgb="FFB91C1C"/>
      <sz val="20"/>
    </font>
    <font>
      <name val="Calibri"/>
      <b val="1"/>
      <color rgb="FF0F172A"/>
      <sz val="20"/>
    </font>
    <font>
      <name val="Calibri"/>
      <b val="1"/>
      <color rgb="FF92400E"/>
      <sz val="20"/>
    </font>
    <font>
      <name val="Calibri"/>
      <b val="1"/>
      <color rgb="FF166534"/>
      <sz val="20"/>
    </font>
    <font>
      <name val="Calibri"/>
      <b val="1"/>
      <color rgb="FFFFFFFF"/>
      <sz val="22"/>
    </font>
    <font>
      <name val="Calibri"/>
      <b val="1"/>
      <color rgb="FFBFDBFE"/>
      <sz val="13"/>
    </font>
    <font>
      <name val="Calibri"/>
      <color rgb="FFE2E8F0"/>
      <sz val="10"/>
    </font>
    <font>
      <name val="Calibri"/>
      <color rgb="FF166534"/>
      <sz val="10"/>
    </font>
    <font>
      <name val="Calibri"/>
      <color rgb="FF0F172A"/>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8">
    <fill>
      <patternFill/>
    </fill>
    <fill>
      <patternFill patternType="gray125"/>
    </fill>
    <fill>
      <patternFill patternType="solid">
        <fgColor rgb="FF4D7C0F"/>
        <bgColor rgb="FF4D7C0F"/>
      </patternFill>
    </fill>
    <fill>
      <patternFill patternType="solid">
        <fgColor rgb="FFECFCCB"/>
        <bgColor rgb="FFECFCCB"/>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65A30D"/>
        <bgColor rgb="FF65A30D"/>
      </patternFill>
    </fill>
    <fill>
      <patternFill patternType="solid">
        <fgColor rgb="FFF59E0B"/>
        <bgColor rgb="FFF59E0B"/>
      </patternFill>
    </fill>
    <fill>
      <patternFill patternType="solid">
        <fgColor rgb="FFDC2626"/>
        <bgColor rgb="FFDC2626"/>
      </patternFill>
    </fill>
    <fill>
      <patternFill patternType="solid">
        <fgColor rgb="FF60A5FA"/>
        <bgColor rgb="FF60A5FA"/>
      </patternFill>
    </fill>
    <fill>
      <patternFill patternType="solid">
        <fgColor rgb="FFFEF9C3"/>
        <bgColor rgb="FFFEF9C3"/>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35">
    <border>
      <left/>
      <right/>
      <top/>
      <bottom/>
      <diagonal/>
    </border>
    <border>
      <bottom style="medium">
        <color rgb="FF4D7C0F"/>
      </bottom>
    </border>
    <border>
      <bottom style="thin">
        <color rgb="FFE2E8F0"/>
      </bottom>
    </border>
    <border>
      <left style="thin">
        <color rgb="FFCBD5E1"/>
      </left>
      <right style="thin">
        <color rgb="FFCBD5E1"/>
      </right>
      <top style="thin">
        <color rgb="FFCBD5E1"/>
      </top>
      <bottom style="thin">
        <color rgb="FFCBD5E1"/>
      </bottom>
    </border>
    <border>
      <left style="thin">
        <color rgb="FFE2E8F0"/>
      </left>
      <bottom style="thin">
        <color rgb="FFE2E8F0"/>
      </bottom>
    </border>
    <border>
      <left style="thick">
        <color rgb="FF4D7C0F"/>
      </left>
      <top style="thin">
        <color rgb="FFE2E8F0"/>
      </top>
    </border>
    <border>
      <top style="thin">
        <color rgb="FFE2E8F0"/>
      </top>
    </border>
    <border>
      <right style="thin">
        <color rgb="FFE2E8F0"/>
      </right>
      <top style="thin">
        <color rgb="FFE2E8F0"/>
      </top>
    </border>
    <border>
      <left style="thick">
        <color rgb="FF4D7C0F"/>
      </left>
    </border>
    <border/>
    <border>
      <right style="thin">
        <color rgb="FFE2E8F0"/>
      </right>
    </border>
    <border>
      <left style="thick">
        <color rgb="FF4D7C0F"/>
      </left>
      <bottom style="thin">
        <color rgb="FFE2E8F0"/>
      </bottom>
    </border>
    <border>
      <right style="thin">
        <color rgb="FFE2E8F0"/>
      </righ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25">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3" fillId="0" borderId="0" applyAlignment="1" pivotButton="0" quotePrefix="0" xfId="0">
      <alignment horizontal="right"/>
    </xf>
    <xf numFmtId="165" fontId="16" fillId="0" borderId="0" pivotButton="0" quotePrefix="0" xfId="0"/>
    <xf numFmtId="0" fontId="16" fillId="4" borderId="5" applyAlignment="1" pivotButton="0" quotePrefix="0" xfId="0">
      <alignment vertical="bottom" indent="1"/>
    </xf>
    <xf numFmtId="0" fontId="0" fillId="4" borderId="6" pivotButton="0" quotePrefix="0" xfId="0"/>
    <xf numFmtId="0" fontId="0" fillId="4" borderId="7" pivotButton="0" quotePrefix="0" xfId="0"/>
    <xf numFmtId="0" fontId="16" fillId="4" borderId="13" applyAlignment="1" pivotButton="0" quotePrefix="0" xfId="0">
      <alignment vertical="bottom" indent="1"/>
    </xf>
    <xf numFmtId="0" fontId="16" fillId="4" borderId="16" applyAlignment="1" pivotButton="0" quotePrefix="0" xfId="0">
      <alignment vertical="bottom" indent="1"/>
    </xf>
    <xf numFmtId="0" fontId="16" fillId="4" borderId="19" applyAlignment="1" pivotButton="0" quotePrefix="0" xfId="0">
      <alignment vertical="bottom" indent="1"/>
    </xf>
    <xf numFmtId="0" fontId="16" fillId="4" borderId="22" applyAlignment="1" pivotButton="0" quotePrefix="0" xfId="0">
      <alignment vertical="bottom" indent="1"/>
    </xf>
    <xf numFmtId="3" fontId="24" fillId="4" borderId="8" applyAlignment="1" pivotButton="0" quotePrefix="0" xfId="0">
      <alignment horizontal="left" vertical="center" indent="1"/>
    </xf>
    <xf numFmtId="0" fontId="0" fillId="4" borderId="9" pivotButton="0" quotePrefix="0" xfId="0"/>
    <xf numFmtId="0" fontId="0" fillId="4" borderId="10" pivotButton="0" quotePrefix="0" xfId="0"/>
    <xf numFmtId="3" fontId="26" fillId="4" borderId="14" applyAlignment="1" pivotButton="0" quotePrefix="0" xfId="0">
      <alignment horizontal="left" vertical="center" indent="1"/>
    </xf>
    <xf numFmtId="3" fontId="27" fillId="4" borderId="17" applyAlignment="1" pivotButton="0" quotePrefix="0" xfId="0">
      <alignment horizontal="left" vertical="center" indent="1"/>
    </xf>
    <xf numFmtId="9" fontId="28" fillId="4" borderId="20" applyAlignment="1" pivotButton="0" quotePrefix="0" xfId="0">
      <alignment horizontal="left" vertical="center" indent="1"/>
    </xf>
    <xf numFmtId="9" fontId="29" fillId="4" borderId="23" applyAlignment="1" pivotButton="0" quotePrefix="0" xfId="0">
      <alignment horizontal="left" vertical="center" indent="1"/>
    </xf>
    <xf numFmtId="0" fontId="25" fillId="4" borderId="11" applyAlignment="1" pivotButton="0" quotePrefix="0" xfId="0">
      <alignment vertical="top" indent="1"/>
    </xf>
    <xf numFmtId="0" fontId="0" fillId="4" borderId="12" pivotButton="0" quotePrefix="0" xfId="0"/>
    <xf numFmtId="0" fontId="25" fillId="4" borderId="15" applyAlignment="1" pivotButton="0" quotePrefix="0" xfId="0">
      <alignment vertical="top" indent="1"/>
    </xf>
    <xf numFmtId="0" fontId="25" fillId="4" borderId="18" applyAlignment="1" pivotButton="0" quotePrefix="0" xfId="0">
      <alignment vertical="top" indent="1"/>
    </xf>
    <xf numFmtId="0" fontId="25" fillId="4" borderId="21" applyAlignment="1" pivotButton="0" quotePrefix="0" xfId="0">
      <alignment vertical="top" indent="1"/>
    </xf>
    <xf numFmtId="0" fontId="25" fillId="4" borderId="24" applyAlignment="1" pivotButton="0" quotePrefix="0" xfId="0">
      <alignment vertical="top" indent="1"/>
    </xf>
    <xf numFmtId="0" fontId="13" fillId="0" borderId="0" pivotButton="0" quotePrefix="0" xfId="0"/>
    <xf numFmtId="0" fontId="14" fillId="7" borderId="3" applyAlignment="1" pivotButton="0" quotePrefix="0" xfId="0">
      <alignment horizontal="center" vertical="center" wrapText="1"/>
    </xf>
    <xf numFmtId="49" fontId="5" fillId="6" borderId="3" applyAlignment="1" pivotButton="0" quotePrefix="0" xfId="0">
      <alignment horizontal="center"/>
    </xf>
    <xf numFmtId="170" fontId="5" fillId="6" borderId="3" applyAlignment="1" pivotButton="0" quotePrefix="0" xfId="0">
      <alignment horizontal="center"/>
    </xf>
    <xf numFmtId="166" fontId="5" fillId="6" borderId="3" applyAlignment="1" pivotButton="0" quotePrefix="0" xfId="0">
      <alignment horizontal="center"/>
    </xf>
    <xf numFmtId="9" fontId="5" fillId="6" borderId="3" applyAlignment="1" pivotButton="0" quotePrefix="0" xfId="0">
      <alignment horizontal="center"/>
    </xf>
    <xf numFmtId="0" fontId="0" fillId="0" borderId="27" pivotButton="0" quotePrefix="0" xfId="0"/>
    <xf numFmtId="0" fontId="14" fillId="7" borderId="3" applyAlignment="1" pivotButton="0" quotePrefix="0" xfId="0">
      <alignment horizontal="center" vertical="center"/>
    </xf>
    <xf numFmtId="0" fontId="5" fillId="0" borderId="3" pivotButton="0" quotePrefix="0" xfId="0"/>
    <xf numFmtId="0" fontId="5" fillId="6" borderId="3" applyAlignment="1" pivotButton="0" quotePrefix="0" xfId="0">
      <alignment horizontal="center"/>
    </xf>
    <xf numFmtId="0" fontId="5" fillId="6" borderId="3" applyAlignment="1" pivotButton="0" quotePrefix="0" xfId="0">
      <alignment horizontal="left"/>
    </xf>
    <xf numFmtId="165" fontId="5" fillId="6" borderId="3" applyAlignment="1" pivotButton="0" quotePrefix="0" xfId="0">
      <alignment horizontal="center"/>
    </xf>
    <xf numFmtId="0" fontId="5" fillId="4" borderId="3" applyAlignment="1" pivotButton="0" quotePrefix="0" xfId="0">
      <alignment vertical="center"/>
    </xf>
    <xf numFmtId="0" fontId="15" fillId="6" borderId="3" applyAlignment="1" pivotButton="0" quotePrefix="0" xfId="0">
      <alignment vertical="center"/>
    </xf>
    <xf numFmtId="3" fontId="5" fillId="4" borderId="3" applyAlignment="1" pivotButton="0" quotePrefix="0" xfId="0">
      <alignment vertical="center"/>
    </xf>
    <xf numFmtId="165" fontId="5" fillId="4" borderId="3" applyAlignment="1" pivotButton="0" quotePrefix="0" xfId="0">
      <alignment vertical="center"/>
    </xf>
    <xf numFmtId="0" fontId="5" fillId="4" borderId="3" applyAlignment="1" pivotButton="0" quotePrefix="0" xfId="0">
      <alignment horizontal="center" vertical="center"/>
    </xf>
    <xf numFmtId="0" fontId="15" fillId="6" borderId="3" applyAlignment="1" pivotButton="0" quotePrefix="0" xfId="0">
      <alignment horizontal="center" vertical="center"/>
    </xf>
    <xf numFmtId="166" fontId="15" fillId="6" borderId="3" applyAlignment="1" pivotButton="0" quotePrefix="0" xfId="0">
      <alignment vertical="center"/>
    </xf>
    <xf numFmtId="3" fontId="15" fillId="6" borderId="3" applyAlignment="1" pivotButton="0" quotePrefix="0" xfId="0">
      <alignment horizontal="center" vertical="center"/>
    </xf>
    <xf numFmtId="167" fontId="15" fillId="6" borderId="3" applyAlignment="1" pivotButton="0" quotePrefix="0" xfId="0">
      <alignment horizontal="center" vertical="center"/>
    </xf>
    <xf numFmtId="168" fontId="15" fillId="6" borderId="3" applyAlignment="1" pivotButton="0" quotePrefix="0" xfId="0">
      <alignment horizontal="center" vertical="center"/>
    </xf>
    <xf numFmtId="169" fontId="15" fillId="6" borderId="3" applyAlignment="1" pivotButton="0" quotePrefix="0" xfId="0">
      <alignment vertical="center"/>
    </xf>
    <xf numFmtId="4" fontId="15" fillId="6" borderId="3" applyAlignment="1" pivotButton="0" quotePrefix="0" xfId="0">
      <alignment vertical="center"/>
    </xf>
    <xf numFmtId="2" fontId="15" fillId="6" borderId="3" applyAlignment="1" pivotButton="0" quotePrefix="0" xfId="0">
      <alignment vertical="center"/>
    </xf>
    <xf numFmtId="1" fontId="15" fillId="6" borderId="3" applyAlignment="1" pivotButton="0" quotePrefix="0" xfId="0">
      <alignment vertical="center"/>
    </xf>
    <xf numFmtId="0" fontId="16" fillId="0" borderId="0" pivotButton="0" quotePrefix="0" xfId="0"/>
    <xf numFmtId="0" fontId="22" fillId="8" borderId="3" applyAlignment="1" pivotButton="0" quotePrefix="0" xfId="0">
      <alignment horizontal="center"/>
    </xf>
    <xf numFmtId="0" fontId="22" fillId="9" borderId="3" applyAlignment="1" pivotButton="0" quotePrefix="0" xfId="0">
      <alignment horizontal="center"/>
    </xf>
    <xf numFmtId="0" fontId="22" fillId="10" borderId="3" applyAlignment="1" pivotButton="0" quotePrefix="0" xfId="0">
      <alignment horizontal="center"/>
    </xf>
    <xf numFmtId="0" fontId="22" fillId="11" borderId="3" applyAlignment="1" pivotButton="0" quotePrefix="0" xfId="0">
      <alignment horizontal="center"/>
    </xf>
    <xf numFmtId="0" fontId="23" fillId="12" borderId="3" applyAlignment="1" pivotButton="0" quotePrefix="0" xfId="0">
      <alignment horizontal="center"/>
    </xf>
    <xf numFmtId="0" fontId="20" fillId="0" borderId="0" pivotButton="0" quotePrefix="0" xfId="0"/>
    <xf numFmtId="173" fontId="19" fillId="7" borderId="0" applyAlignment="1" pivotButton="0" quotePrefix="0" xfId="0">
      <alignment horizontal="center" vertical="center"/>
    </xf>
    <xf numFmtId="49" fontId="7" fillId="6" borderId="2" pivotButton="0" quotePrefix="0" xfId="0"/>
    <xf numFmtId="49" fontId="7" fillId="6" borderId="2" applyAlignment="1" pivotButton="0" quotePrefix="0" xfId="0">
      <alignment horizontal="center"/>
    </xf>
    <xf numFmtId="174" fontId="7" fillId="6" borderId="2" applyAlignment="1" pivotButton="0" quotePrefix="0" xfId="0">
      <alignment horizontal="center"/>
    </xf>
    <xf numFmtId="175" fontId="21" fillId="0" borderId="4" applyAlignment="1" pivotButton="0" quotePrefix="0" xfId="0">
      <alignment horizontal="center"/>
    </xf>
    <xf numFmtId="0" fontId="0" fillId="5" borderId="3" pivotButton="0" quotePrefix="0" xfId="0"/>
    <xf numFmtId="0" fontId="13" fillId="5" borderId="3" pivotButton="0" quotePrefix="0" xfId="0"/>
    <xf numFmtId="170" fontId="8" fillId="5" borderId="3" applyAlignment="1" pivotButton="0" quotePrefix="0" xfId="0">
      <alignment horizontal="center"/>
    </xf>
    <xf numFmtId="0" fontId="10" fillId="6" borderId="3" pivotButton="0" quotePrefix="0" xfId="0"/>
    <xf numFmtId="0" fontId="5" fillId="6" borderId="3" pivotButton="0" quotePrefix="0" xfId="0"/>
    <xf numFmtId="171" fontId="5" fillId="6" borderId="3" applyAlignment="1" pivotButton="0" quotePrefix="0" xfId="0">
      <alignment horizontal="center"/>
    </xf>
    <xf numFmtId="0" fontId="10" fillId="5" borderId="3" pivotButton="0" quotePrefix="0" xfId="0"/>
    <xf numFmtId="166" fontId="10" fillId="5" borderId="3" applyAlignment="1" pivotButton="0" quotePrefix="0" xfId="0">
      <alignment horizontal="center"/>
    </xf>
    <xf numFmtId="9" fontId="10" fillId="5" borderId="3" applyAlignment="1" pivotButton="0" quotePrefix="0" xfId="0">
      <alignment horizontal="center"/>
    </xf>
    <xf numFmtId="170" fontId="17" fillId="5" borderId="3" applyAlignment="1" pivotButton="0" quotePrefix="0" xfId="0">
      <alignment horizontal="center"/>
    </xf>
    <xf numFmtId="0" fontId="17" fillId="5" borderId="3" applyAlignment="1" pivotButton="0" quotePrefix="0" xfId="0">
      <alignment horizontal="center"/>
    </xf>
    <xf numFmtId="0" fontId="18" fillId="0" borderId="0" pivotButton="0" quotePrefix="0" xfId="0"/>
    <xf numFmtId="172" fontId="17" fillId="6" borderId="3" pivotButton="0" quotePrefix="0" xfId="0"/>
    <xf numFmtId="166" fontId="5" fillId="4" borderId="3" applyAlignment="1" pivotButton="0" quotePrefix="0" xfId="0">
      <alignment vertical="center"/>
    </xf>
    <xf numFmtId="2" fontId="5" fillId="4" borderId="3" applyAlignment="1" pivotButton="0" quotePrefix="0" xfId="0">
      <alignment vertical="center"/>
    </xf>
    <xf numFmtId="9" fontId="5" fillId="4" borderId="3" applyAlignment="1" pivotButton="0" quotePrefix="0" xfId="0">
      <alignment vertical="center"/>
    </xf>
    <xf numFmtId="0" fontId="10" fillId="0" borderId="0" pivotButton="0" quotePrefix="0" xfId="0"/>
    <xf numFmtId="0" fontId="5" fillId="4" borderId="3" applyAlignment="1" pivotButton="0" quotePrefix="0" xfId="0">
      <alignment horizontal="center"/>
    </xf>
    <xf numFmtId="0" fontId="11" fillId="4" borderId="3" applyAlignment="1" pivotButton="0" quotePrefix="0" xfId="0">
      <alignment horizontal="center"/>
    </xf>
    <xf numFmtId="165" fontId="5" fillId="4" borderId="3" applyAlignment="1" pivotButton="0" quotePrefix="0" xfId="0">
      <alignment horizontal="center"/>
    </xf>
    <xf numFmtId="0" fontId="13" fillId="0" borderId="0" applyAlignment="1" pivotButton="0" quotePrefix="0" xfId="0">
      <alignment vertical="top" wrapText="1"/>
    </xf>
    <xf numFmtId="0" fontId="12" fillId="0" borderId="0" pivotButton="0" quotePrefix="0" xfId="0"/>
    <xf numFmtId="165" fontId="12" fillId="6" borderId="3" applyAlignment="1" pivotButton="0" quotePrefix="0" xfId="0">
      <alignment horizontal="center"/>
    </xf>
    <xf numFmtId="1" fontId="12" fillId="6" borderId="3" applyAlignment="1" pivotButton="0" quotePrefix="0" xfId="0">
      <alignment horizontal="center"/>
    </xf>
    <xf numFmtId="0" fontId="0" fillId="13" borderId="0" pivotButton="0" quotePrefix="0" xfId="0"/>
    <xf numFmtId="0" fontId="30" fillId="14" borderId="0" applyAlignment="1" pivotButton="0" quotePrefix="0" xfId="0">
      <alignment vertical="bottom" indent="1"/>
    </xf>
    <xf numFmtId="0" fontId="0" fillId="14" borderId="0" pivotButton="0" quotePrefix="0" xfId="0"/>
    <xf numFmtId="0" fontId="31" fillId="14" borderId="0" applyAlignment="1" pivotButton="0" quotePrefix="0" xfId="0">
      <alignment indent="1"/>
    </xf>
    <xf numFmtId="0" fontId="32" fillId="14" borderId="0" applyAlignment="1" pivotButton="0" quotePrefix="0" xfId="0">
      <alignment vertical="top" wrapText="1" indent="1"/>
    </xf>
    <xf numFmtId="0" fontId="3" fillId="13" borderId="28" pivotButton="0" quotePrefix="0" xfId="0"/>
    <xf numFmtId="0" fontId="0" fillId="13" borderId="28" pivotButton="0" quotePrefix="0" xfId="0"/>
    <xf numFmtId="0" fontId="33" fillId="13" borderId="0" applyAlignment="1" pivotButton="0" quotePrefix="0" xfId="0">
      <alignment vertical="center" wrapText="1"/>
    </xf>
    <xf numFmtId="0" fontId="34" fillId="13" borderId="0" applyAlignment="1" pivotButton="0" quotePrefix="0" xfId="0">
      <alignment vertical="center" wrapText="1"/>
    </xf>
    <xf numFmtId="0" fontId="14" fillId="13" borderId="9" applyAlignment="1" pivotButton="0" quotePrefix="0" xfId="0">
      <alignment vertical="center" wrapText="1" indent="1"/>
    </xf>
    <xf numFmtId="0" fontId="14" fillId="7" borderId="3" applyAlignment="1" pivotButton="0" quotePrefix="0" xfId="0">
      <alignment vertical="center" wrapText="1" indent="1"/>
    </xf>
    <xf numFmtId="0" fontId="14" fillId="15" borderId="3" applyAlignment="1" pivotButton="0" quotePrefix="0" xfId="0">
      <alignment vertical="center" wrapText="1" indent="1"/>
    </xf>
    <xf numFmtId="0" fontId="6" fillId="4" borderId="3" applyAlignment="1" pivotButton="0" quotePrefix="0" xfId="0">
      <alignment vertical="center" wrapText="1" indent="1"/>
    </xf>
    <xf numFmtId="0" fontId="34" fillId="4" borderId="3" applyAlignment="1" pivotButton="0" quotePrefix="0" xfId="0">
      <alignment vertical="center" wrapText="1" indent="1"/>
    </xf>
    <xf numFmtId="0" fontId="34" fillId="16" borderId="3" applyAlignment="1" pivotButton="0" quotePrefix="0" xfId="0">
      <alignment vertical="center" wrapText="1" indent="1"/>
    </xf>
    <xf numFmtId="0" fontId="35" fillId="6" borderId="3" applyAlignment="1" pivotButton="0" quotePrefix="0" xfId="0">
      <alignment horizontal="center" vertical="center" wrapText="1" indent="1"/>
    </xf>
    <xf numFmtId="0" fontId="36" fillId="17" borderId="3" applyAlignment="1" pivotButton="0" quotePrefix="0" xfId="0">
      <alignment horizontal="center" vertical="center" wrapText="1" indent="1"/>
    </xf>
    <xf numFmtId="0" fontId="37" fillId="16" borderId="31" applyAlignment="1" pivotButton="0" quotePrefix="0" xfId="0">
      <alignment horizontal="center" vertical="center"/>
    </xf>
    <xf numFmtId="0" fontId="0" fillId="0" borderId="34" pivotButton="0" quotePrefix="0" xfId="0"/>
    <xf numFmtId="0" fontId="38" fillId="13" borderId="0" applyAlignment="1" pivotButton="0" quotePrefix="0" xfId="0">
      <alignment horizontal="center" vertical="center"/>
    </xf>
    <xf numFmtId="0" fontId="39" fillId="13" borderId="0" applyAlignment="1" pivotButton="0" quotePrefix="0" xfId="0">
      <alignment horizontal="center" vertical="center"/>
    </xf>
    <xf numFmtId="0" fontId="8" fillId="13" borderId="0" applyAlignment="1" pivotButton="0" quotePrefix="0" xfId="0">
      <alignment vertical="top" wrapText="1"/>
    </xf>
  </cellXfs>
  <cellStyles count="1">
    <cellStyle name="Normal" xfId="0" builtinId="0" hidden="0"/>
  </cellStyles>
  <dxfs count="14">
    <dxf>
      <font>
        <b val="1"/>
        <color rgb="FFB91C1C"/>
      </font>
      <fill>
        <patternFill patternType="solid">
          <fgColor rgb="FFFEE2E2"/>
          <bgColor rgb="FFFEE2E2"/>
        </patternFill>
      </fill>
    </dxf>
    <dxf>
      <font>
        <b val="1"/>
        <color rgb="FF92400E"/>
      </font>
      <fill>
        <patternFill patternType="solid">
          <fgColor rgb="FFFEF3C7"/>
          <bgColor rgb="FFFEF3C7"/>
        </patternFill>
      </fill>
    </dxf>
    <dxf>
      <font>
        <color rgb="FF166534"/>
      </font>
      <fill>
        <patternFill patternType="solid">
          <fgColor rgb="FFDCFCE7"/>
          <bgColor rgb="FFDCFCE7"/>
        </patternFill>
      </fill>
    </dxf>
    <dxf>
      <font>
        <color rgb="FF1D4ED8"/>
      </font>
      <fill>
        <patternFill patternType="solid">
          <fgColor rgb="FFDBEAFE"/>
          <bgColor rgb="FFDBEAFE"/>
        </patternFill>
      </fill>
    </dxf>
    <dxf>
      <font>
        <color rgb="FF475569"/>
      </font>
      <fill>
        <patternFill patternType="solid">
          <fgColor rgb="FFF1F5F9"/>
          <bgColor rgb="FFF1F5F9"/>
        </patternFill>
      </fill>
    </dxf>
    <dxf>
      <font>
        <color rgb="FF92400E"/>
      </font>
      <fill>
        <patternFill patternType="solid">
          <fgColor rgb="FFFEF3C7"/>
          <bgColor rgb="FFFEF3C7"/>
        </patternFill>
      </fill>
    </dxf>
    <dxf>
      <numFmt numFmtId="180" formatCode="#,##0.00&quot; DH&quot;"/>
    </dxf>
    <dxf>
      <numFmt numFmtId="181" formatCode="#,##0.00&quot; €&quot;"/>
    </dxf>
    <dxf>
      <numFmt numFmtId="182" formatCode="&quot;$&quot;#,##0.00"/>
    </dxf>
    <dxf>
      <fill>
        <patternFill patternType="solid">
          <fgColor rgb="FFDC2626"/>
          <bgColor rgb="FFDC2626"/>
        </patternFill>
      </fill>
    </dxf>
    <dxf>
      <fill>
        <patternFill patternType="solid">
          <fgColor rgb="FF60A5FA"/>
          <bgColor rgb="FF60A5FA"/>
        </patternFill>
      </fill>
    </dxf>
    <dxf>
      <fill>
        <patternFill patternType="solid">
          <fgColor rgb="FFF59E0B"/>
          <bgColor rgb="FFF59E0B"/>
        </patternFill>
      </fill>
    </dxf>
    <dxf>
      <fill>
        <patternFill patternType="solid">
          <fgColor rgb="FF65A30D"/>
          <bgColor rgb="FF65A30D"/>
        </patternFill>
      </fill>
    </dxf>
    <dxf>
      <fill>
        <patternFill patternType="solid">
          <fgColor rgb="FFFEF9C3"/>
          <bgColor rgb="FFFEF9C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Charge et capacité par semaine (heures)</a:t>
            </a:r>
          </a:p>
        </rich>
      </tx>
    </title>
    <plotArea>
      <barChart>
        <barDir val="col"/>
        <grouping val="clustered"/>
        <ser>
          <idx val="0"/>
          <order val="0"/>
          <tx>
            <strRef>
              <f>'Tableau de bord'!D12</f>
            </strRef>
          </tx>
          <spPr>
            <a:solidFill xmlns:a="http://schemas.openxmlformats.org/drawingml/2006/main">
              <a:srgbClr val="4D7C0F"/>
            </a:solidFill>
            <a:ln xmlns:a="http://schemas.openxmlformats.org/drawingml/2006/main">
              <a:solidFill>
                <a:srgbClr val="4D7C0F"/>
              </a:solidFill>
              <a:prstDash val="solid"/>
            </a:ln>
          </spPr>
          <cat>
            <numRef>
              <f>'Tableau de bord'!$B$13:$B$24</f>
            </numRef>
          </cat>
          <val>
            <numRef>
              <f>'Tableau de bord'!$D$13:$D$24</f>
            </numRef>
          </val>
        </ser>
        <ser>
          <idx val="1"/>
          <order val="1"/>
          <tx>
            <strRef>
              <f>'Tableau de bord'!E12</f>
            </strRef>
          </tx>
          <spPr>
            <a:solidFill xmlns:a="http://schemas.openxmlformats.org/drawingml/2006/main">
              <a:srgbClr val="CBD5E1"/>
            </a:solidFill>
            <a:ln xmlns:a="http://schemas.openxmlformats.org/drawingml/2006/main">
              <a:solidFill>
                <a:srgbClr val="CBD5E1"/>
              </a:solidFill>
              <a:prstDash val="solid"/>
            </a:ln>
          </spPr>
          <cat>
            <numRef>
              <f>'Tableau de bord'!$B$13:$B$24</f>
            </numRef>
          </cat>
          <val>
            <numRef>
              <f>'Tableau de bord'!$E$13:$E$24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Répartition des OF</a:t>
            </a:r>
          </a:p>
        </rich>
      </tx>
    </title>
    <plotArea>
      <doughnutChart>
        <varyColors val="1"/>
        <ser>
          <idx val="0"/>
          <order val="0"/>
          <tx>
            <strRef>
              <f>'Tableau de bord'!D28</f>
            </strRef>
          </tx>
          <spPr>
            <a:ln xmlns:a="http://schemas.openxmlformats.org/drawingml/2006/main">
              <a:prstDash val="solid"/>
            </a:ln>
          </spPr>
          <dPt>
            <idx val="0"/>
            <spPr>
              <a:solidFill xmlns:a="http://schemas.openxmlformats.org/drawingml/2006/main">
                <a:srgbClr val="65A30D"/>
              </a:solidFill>
              <a:ln xmlns:a="http://schemas.openxmlformats.org/drawingml/2006/main">
                <a:solidFill>
                  <a:srgbClr val="FFFFFF"/>
                </a:solidFill>
                <a:prstDash val="solid"/>
              </a:ln>
            </spPr>
          </dPt>
          <dPt>
            <idx val="1"/>
            <spPr>
              <a:solidFill xmlns:a="http://schemas.openxmlformats.org/drawingml/2006/main">
                <a:srgbClr val="F59E0B"/>
              </a:solidFill>
              <a:ln xmlns:a="http://schemas.openxmlformats.org/drawingml/2006/main">
                <a:solidFill>
                  <a:srgbClr val="FFFFFF"/>
                </a:solidFill>
                <a:prstDash val="solid"/>
              </a:ln>
            </spPr>
          </dPt>
          <dPt>
            <idx val="2"/>
            <spPr>
              <a:solidFill xmlns:a="http://schemas.openxmlformats.org/drawingml/2006/main">
                <a:srgbClr val="DC2626"/>
              </a:solidFill>
              <a:ln xmlns:a="http://schemas.openxmlformats.org/drawingml/2006/main">
                <a:solidFill>
                  <a:srgbClr val="FFFFFF"/>
                </a:solidFill>
                <a:prstDash val="solid"/>
              </a:ln>
            </spPr>
          </dPt>
          <dPt>
            <idx val="3"/>
            <spPr>
              <a:solidFill xmlns:a="http://schemas.openxmlformats.org/drawingml/2006/main">
                <a:srgbClr val="94A3B8"/>
              </a:solidFill>
              <a:ln xmlns:a="http://schemas.openxmlformats.org/drawingml/2006/main">
                <a:solidFill>
                  <a:srgbClr val="FFFFFF"/>
                </a:solidFill>
                <a:prstDash val="solid"/>
              </a:ln>
            </spPr>
          </dPt>
          <dPt>
            <idx val="4"/>
            <spPr>
              <a:solidFill xmlns:a="http://schemas.openxmlformats.org/drawingml/2006/main">
                <a:srgbClr val="60A5FA"/>
              </a:solidFill>
              <a:ln xmlns:a="http://schemas.openxmlformats.org/drawingml/2006/main">
                <a:solidFill>
                  <a:srgbClr val="FFFFFF"/>
                </a:solidFill>
                <a:prstDash val="solid"/>
              </a:ln>
            </spPr>
          </dPt>
          <dPt>
            <idx val="5"/>
            <spPr>
              <a:solidFill xmlns:a="http://schemas.openxmlformats.org/drawingml/2006/main">
                <a:srgbClr val="CBD5E1"/>
              </a:solidFill>
              <a:ln xmlns:a="http://schemas.openxmlformats.org/drawingml/2006/main">
                <a:solidFill>
                  <a:srgbClr val="FFFFFF"/>
                </a:solidFill>
                <a:prstDash val="solid"/>
              </a:ln>
            </spPr>
          </dPt>
          <dLbls>
            <showVal val="0"/>
            <showCatName val="0"/>
            <showSerName val="0"/>
            <showPercent val="0"/>
            <showLeaderLines val="0"/>
          </dLbls>
          <cat>
            <numRef>
              <f>'Tableau de bord'!$B$29:$B$34</f>
            </numRef>
          </cat>
          <val>
            <numRef>
              <f>'Tableau de bord'!$D$29:$D$34</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7</col>
      <colOff>0</colOff>
      <row>10</row>
      <rowOff>0</rowOff>
    </from>
    <ext cx="61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3420000" cy="23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planning-de-production-excel" TargetMode="External" Id="rId1"/><Relationship Type="http://schemas.openxmlformats.org/officeDocument/2006/relationships/hyperlink" Target="https://qualis-erp.com/pricing?utm_source=excel&amp;utm_medium=modele&amp;utm_campaign=planning-de-production-excel" TargetMode="External" Id="rId2"/><Relationship Type="http://schemas.openxmlformats.org/officeDocument/2006/relationships/hyperlink" Target="https://qualis-erp.com/?utm_source=excel&amp;utm_medium=modele&amp;utm_campaign=planning-de-production-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1"/>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Planning de production</t>
        </is>
      </c>
      <c r="C1" s="1" t="n"/>
      <c r="D1" s="1" t="n"/>
      <c r="E1" s="1" t="n"/>
    </row>
    <row r="2" ht="22" customHeight="1">
      <c r="A2" s="3" t="n"/>
      <c r="B2" s="4" t="inlineStr">
        <is>
          <t>Mode d'emploi. Lisez cette page une fois, puis travaillez surtout dans « Ordres de fabrication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Les chiffres clés, la charge des 12 prochaines semaines et les OF en retard.</t>
        </is>
      </c>
      <c r="D6" s="9" t="n"/>
    </row>
    <row r="7" ht="20" customHeight="1">
      <c r="B7" s="10" t="inlineStr">
        <is>
          <t>→ Ordres de fabrication</t>
        </is>
      </c>
      <c r="C7" s="11" t="inlineStr">
        <is>
          <t>La liste de vos OF. C'est la feuille que vous remplissez au quotidien.</t>
        </is>
      </c>
      <c r="D7" s="12" t="n"/>
    </row>
    <row r="8" ht="20" customHeight="1">
      <c r="B8" s="7" t="inlineStr">
        <is>
          <t>→ Gantt</t>
        </is>
      </c>
      <c r="C8" s="8" t="inlineStr">
        <is>
          <t>Le diagramme de Gantt des 100 premiers OF, jour par jour.</t>
        </is>
      </c>
      <c r="D8" s="9" t="n"/>
    </row>
    <row r="9" ht="30" customHeight="1">
      <c r="B9" s="10" t="inlineStr">
        <is>
          <t>→ Charge par poste</t>
        </is>
      </c>
      <c r="C9" s="11" t="inlineStr">
        <is>
          <t>La charge en heures de chaque poste, semaine par semaine, face à sa capacité.</t>
        </is>
      </c>
      <c r="D9" s="12" t="n"/>
    </row>
    <row r="10" ht="30" customHeight="1">
      <c r="B10" s="7" t="inlineStr">
        <is>
          <t>→ Gammes</t>
        </is>
      </c>
      <c r="C10" s="8" t="inlineStr">
        <is>
          <t>Pour chaque article : le poste qui le fabrique, le temps de réglage et le temps par pièce.</t>
        </is>
      </c>
      <c r="D10" s="9" t="n"/>
    </row>
    <row r="11" ht="20" customHeight="1">
      <c r="B11" s="10" t="inlineStr">
        <is>
          <t>→ Postes de travail</t>
        </is>
      </c>
      <c r="C11" s="11" t="inlineStr">
        <is>
          <t>Vos machines ou équipes : heures par jour, rendement, taux horaire.</t>
        </is>
      </c>
      <c r="D11" s="12" t="n"/>
    </row>
    <row r="12" ht="20" customHeight="1">
      <c r="B12" s="7" t="inlineStr">
        <is>
          <t>→ Paramètres</t>
        </is>
      </c>
      <c r="C12" s="8" t="inlineStr">
        <is>
          <t>Entreprise, devise, date de début, jours travaillés et jours fériés.</t>
        </is>
      </c>
      <c r="D12" s="9" t="n"/>
    </row>
    <row r="15" ht="22" customHeight="1">
      <c r="B15" s="5" t="inlineStr">
        <is>
          <t>Démarrer en 5 étapes</t>
        </is>
      </c>
      <c r="C15" s="6" t="n"/>
      <c r="D15" s="6" t="n"/>
    </row>
    <row r="16" ht="32" customHeight="1">
      <c r="B16" s="13" t="inlineStr">
        <is>
          <t>1. Paramètres</t>
        </is>
      </c>
      <c r="C16" s="14" t="inlineStr">
        <is>
          <t>Nom de l'entreprise, devise (MAD, EUR ou USD), date de début du planning, jours travaillés (lundi au vendredi ou lundi au samedi) et jours fériés. Laissez la date de début vide pour partir d'aujourd'hui.</t>
        </is>
      </c>
    </row>
    <row r="17" ht="32" customHeight="1">
      <c r="B17" s="13" t="inlineStr">
        <is>
          <t>2. Postes de travail</t>
        </is>
      </c>
      <c r="C17" s="14" t="inlineStr">
        <is>
          <t>Une ligne par machine ou par équipe : code court (TOUR, SOUD...), heures d'ouverture par jour, rendement (85 % = 85 % du temps ouvert est vraiment productif) et taux horaire pour estimer le coût.</t>
        </is>
      </c>
    </row>
    <row r="18" ht="32" customHeight="1">
      <c r="B18" s="13" t="inlineStr">
        <is>
          <t>3. Gammes</t>
        </is>
      </c>
      <c r="C18" s="14" t="inlineStr">
        <is>
          <t>Une ligne par article fabriqué : le poste qui le fabrique, le temps de réglage en heures (une fois par OF) et le temps par pièce en minutes.</t>
        </is>
      </c>
    </row>
    <row r="19" ht="46" customHeight="1">
      <c r="B19" s="13" t="inlineStr">
        <is>
          <t>4. Ordres de fabrication</t>
        </is>
      </c>
      <c r="C19" s="14" t="inlineStr">
        <is>
          <t>Une ligne par OF, dans l'ordre où vous voulez les passer. Saisissez la référence, la quantité, la date de besoin et le statut. Le poste, les heures, le début et la fin se calculent : chaque OF démarre le jour ouvré qui suit la fin de l'OF précédent sur le même poste.</t>
        </is>
      </c>
    </row>
    <row r="20" ht="32" customHeight="1">
      <c r="B20" s="13" t="inlineStr">
        <is>
          <t>5. Suivre</t>
        </is>
      </c>
      <c r="C20" s="14" t="inlineStr">
        <is>
          <t>Le tableau de bord, le Gantt et la charge se mettent à jour seuls. Changez l'ordre des lignes pour changer les priorités, ou saisissez un « Début imposé » pour bloquer un OF à une date.</t>
        </is>
      </c>
    </row>
    <row r="22" ht="22" customHeight="1">
      <c r="B22" s="5" t="inlineStr">
        <is>
          <t>Comment le planning est calculé</t>
        </is>
      </c>
      <c r="C22" s="6" t="n"/>
      <c r="D22" s="6" t="n"/>
    </row>
    <row r="23" ht="18" customHeight="1">
      <c r="B23" s="15" t="inlineStr">
        <is>
          <t>Heures d'un OF</t>
        </is>
      </c>
      <c r="C23" s="14" t="inlineStr">
        <is>
          <t>Temps de réglage + quantité x temps par pièce / 60.</t>
        </is>
      </c>
    </row>
    <row r="24" ht="32" customHeight="1">
      <c r="B24" s="15" t="inlineStr">
        <is>
          <t>Durée en jours</t>
        </is>
      </c>
      <c r="C24" s="14" t="inlineStr">
        <is>
          <t>Heures de l'OF divisées par la capacité du poste par jour (heures par jour x rendement), arrondies au jour supérieur. Un OF de 5 heures sur un poste de 7,2 heures par jour prend 1 jour.</t>
        </is>
      </c>
    </row>
    <row r="25" ht="46" customHeight="1">
      <c r="B25" s="15" t="inlineStr">
        <is>
          <t>Début et fin</t>
        </is>
      </c>
      <c r="C25" s="14" t="inlineStr">
        <is>
          <t>Sans début imposé, l'OF commence le premier jour ouvré après la fin du dernier OF placé au-dessus de lui sur le même poste, jamais avant la date de début du planning. Les week-ends et les jours fériés sont sautés.</t>
        </is>
      </c>
    </row>
    <row r="26" ht="46" customHeight="1">
      <c r="B26" s="15" t="inlineStr">
        <is>
          <t>État</t>
        </is>
      </c>
      <c r="C26" s="14" t="inlineStr">
        <is>
          <t>En retard : la fin calculée dépasse la date de besoin. Juste : la marge est égale ou inférieure à la marge d'alerte des Paramètres. À l'heure : la marge est confortable. Terminé et Annulé reprennent le statut saisi.</t>
        </is>
      </c>
    </row>
    <row r="27" ht="46" customHeight="1">
      <c r="B27" s="15" t="inlineStr">
        <is>
          <t>Charge</t>
        </is>
      </c>
      <c r="C27" s="14" t="inlineStr">
        <is>
          <t>Les heures de chaque OF sont réparties à parts égales sur ses jours de production, puis additionnées par poste et par semaine. Taux de charge = charge / capacité. Au-dessus de 100 %, le poste ne peut pas tout faire dans la semaine.</t>
        </is>
      </c>
    </row>
    <row r="29" ht="22" customHeight="1">
      <c r="B29" s="5" t="inlineStr">
        <is>
          <t>Couleurs et contrôles</t>
        </is>
      </c>
      <c r="C29" s="6" t="n"/>
      <c r="D29" s="6" t="n"/>
    </row>
    <row r="30" ht="18" customHeight="1">
      <c r="B30" s="15" t="inlineStr">
        <is>
          <t>Cellules blanches</t>
        </is>
      </c>
      <c r="C30" s="14" t="inlineStr">
        <is>
          <t>À remplir par vous.</t>
        </is>
      </c>
    </row>
    <row r="31" ht="18" customHeight="1">
      <c r="B31" s="15" t="inlineStr">
        <is>
          <t>Cellules grises</t>
        </is>
      </c>
      <c r="C31" s="14" t="inlineStr">
        <is>
          <t>Calculées par une formule. Ne tapez pas dedans.</t>
        </is>
      </c>
    </row>
    <row r="32" ht="46" customHeight="1">
      <c r="B32" s="15" t="inlineStr">
        <is>
          <t>Colonne Contrôle</t>
        </is>
      </c>
      <c r="C32" s="14" t="inlineStr">
        <is>
          <t>Chaque OF est vérifié : référence inconnue, quantité invalide, poste manquant ou inconnu, N° d'OF en double, début imposé un jour non travaillé ou qui chevauche l'OF précédent du même poste. Une ligne correcte affiche OK.</t>
        </is>
      </c>
    </row>
    <row r="34" ht="22" customHeight="1">
      <c r="B34" s="5" t="inlineStr">
        <is>
          <t>Bonnes pratiques et limites</t>
        </is>
      </c>
      <c r="C34" s="6" t="n"/>
      <c r="D34" s="6" t="n"/>
    </row>
    <row r="35" ht="32" customHeight="1">
      <c r="B35" s="15" t="inlineStr">
        <is>
          <t>OF en cours ou terminés</t>
        </is>
      </c>
      <c r="C35" s="14" t="inlineStr">
        <is>
          <t>Saisissez leur date de début réelle dans « Début imposé » : sans elle, le fichier les replanifierait à partir de la date de début du planning.</t>
        </is>
      </c>
    </row>
    <row r="36" ht="32" customHeight="1">
      <c r="B36" s="15" t="inlineStr">
        <is>
          <t>Un poste = une ressource</t>
        </is>
      </c>
      <c r="C36" s="14" t="inlineStr">
        <is>
          <t>Le fichier passe les OF d'un poste l'un après l'autre. Si vous avez deux tours identiques, créez deux postes (TOUR1, TOUR2) et répartissez les articles.</t>
        </is>
      </c>
    </row>
    <row r="37" ht="32" customHeight="1">
      <c r="B37" s="15" t="inlineStr">
        <is>
          <t>Une opération par article</t>
        </is>
      </c>
      <c r="C37" s="14" t="inlineStr">
        <is>
          <t>Chaque article est fabriqué sur un seul poste. Pour une pièce qui passe par la scie, puis le tour, puis la peinture, créez un article par étape (TUB-CAD-40 coupé, puis usiné...) et un OF par étape.</t>
        </is>
      </c>
    </row>
    <row r="38" ht="32" customHeight="1">
      <c r="B38" s="15" t="inlineStr">
        <is>
          <t>Capacité</t>
        </is>
      </c>
      <c r="C38" s="14" t="inlineStr">
        <is>
          <t>300 OF, 300 articles, 20 postes, 40 jours fériés. Le Gantt montre les 100 premiers OF sur 60 jours ouvrés, la charge couvre 12 semaines.</t>
        </is>
      </c>
    </row>
    <row r="39" ht="32" customHeight="1">
      <c r="B39" s="15" t="inlineStr">
        <is>
          <t>Compatibilité</t>
        </is>
      </c>
      <c r="C39" s="14" t="inlineStr">
        <is>
          <t>Excel 2010 et suivants (Windows, Mac), Excel en ligne, LibreOffice Calc et Google Sheets. Aucune macro, aucune feuille protégée.</t>
        </is>
      </c>
    </row>
    <row r="41">
      <c r="B41" s="16" t="inlineStr">
        <is>
          <t>Saisie</t>
        </is>
      </c>
      <c r="C41" s="17" t="inlineStr">
        <is>
          <t>Calcul auto</t>
        </is>
      </c>
    </row>
  </sheetData>
  <mergeCells count="25">
    <mergeCell ref="C6:D6"/>
    <mergeCell ref="C24:D24"/>
    <mergeCell ref="C30:D30"/>
    <mergeCell ref="C26:D26"/>
    <mergeCell ref="C35:D35"/>
    <mergeCell ref="C20:D20"/>
    <mergeCell ref="C10:D10"/>
    <mergeCell ref="C16:D16"/>
    <mergeCell ref="C25:D25"/>
    <mergeCell ref="C9:D9"/>
    <mergeCell ref="C31:D31"/>
    <mergeCell ref="C12:D12"/>
    <mergeCell ref="C11:D11"/>
    <mergeCell ref="C27:D27"/>
    <mergeCell ref="C36:D36"/>
    <mergeCell ref="C23:D23"/>
    <mergeCell ref="C17:D17"/>
    <mergeCell ref="C39:D39"/>
    <mergeCell ref="C8:D8"/>
    <mergeCell ref="C32:D32"/>
    <mergeCell ref="C7:D7"/>
    <mergeCell ref="C38:D38"/>
    <mergeCell ref="C19:D19"/>
    <mergeCell ref="C37:D37"/>
    <mergeCell ref="C18:D18"/>
  </mergeCells>
  <hyperlinks>
    <hyperlink ref="B6" location="'Tableau de bord'!A1"/>
    <hyperlink ref="B7" location="'Ordres de fabrication'!A1"/>
    <hyperlink ref="B8" location="'Gantt'!A1"/>
    <hyperlink ref="B9" location="'Charge par poste'!A1"/>
    <hyperlink ref="B10" location="'Gammes'!A1"/>
    <hyperlink ref="B11" location="'Postes de travail'!A1"/>
    <hyperlink ref="B12" location="'Paramètres'!A1"/>
    <hyperlink ref="B16" location="'Paramètres'!A1"/>
    <hyperlink ref="B17" location="'Postes de travail'!A1"/>
    <hyperlink ref="B18" location="'Gammes'!A1"/>
    <hyperlink ref="B19" location="'Ordres de fabrication'!A1"/>
    <hyperlink ref="B20" location="'Tableau de bord'!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41"/>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"Planning de production"&amp;IF(p_company&lt;&gt;""," : "&amp;p_company,"")</f>
        <v>Planning de production : Atelier Exemple</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les feuilles « Ordres de fabrication », « Gammes » et « Postes de travail ».</t>
        </is>
      </c>
      <c r="C2" s="3" t="n"/>
      <c r="D2" s="3" t="n"/>
      <c r="E2" s="3" t="n"/>
      <c r="F2" s="3" t="n"/>
      <c r="G2" s="3" t="n"/>
      <c r="H2" s="3" t="n"/>
      <c r="I2" s="3" t="n"/>
      <c r="J2" s="3" t="n"/>
      <c r="K2" s="3" t="n"/>
      <c r="L2" s="3" t="n"/>
      <c r="M2" s="3" t="n"/>
      <c r="N2" s="3" t="n"/>
      <c r="O2" s="3" t="n"/>
      <c r="P2" s="3" t="n"/>
    </row>
    <row r="3" ht="16" customHeight="1">
      <c r="N3" s="19" t="inlineStr">
        <is>
          <t>Situation au</t>
        </is>
      </c>
      <c r="P3" s="20">
        <f>TODAY()</f>
        <v>46331.0</v>
      </c>
    </row>
    <row r="5" ht="18" customHeight="1">
      <c r="B5" s="21" t="inlineStr">
        <is>
          <t>OF À RÉALISER</t>
        </is>
      </c>
      <c r="C5" s="22" t="n"/>
      <c r="D5" s="23" t="n"/>
      <c r="E5" s="24" t="inlineStr">
        <is>
          <t>OF EN RETARD</t>
        </is>
      </c>
      <c r="F5" s="22" t="n"/>
      <c r="G5" s="23" t="n"/>
      <c r="H5" s="25" t="inlineStr">
        <is>
          <t>HEURES À PRODUIRE</t>
        </is>
      </c>
      <c r="I5" s="22" t="n"/>
      <c r="J5" s="23" t="n"/>
      <c r="K5" s="26" t="inlineStr">
        <is>
          <t>CHARGE 4 SEMAINES</t>
        </is>
      </c>
      <c r="L5" s="22" t="n"/>
      <c r="M5" s="23" t="n"/>
      <c r="N5" s="27" t="inlineStr">
        <is>
          <t>OF À L'HEURE</t>
        </is>
      </c>
      <c r="O5" s="22" t="n"/>
      <c r="P5" s="23" t="n"/>
    </row>
    <row r="6" ht="32" customHeight="1">
      <c r="B6" s="28">
        <f>COUNTIFS(of_ref,"?*",of_etat,"&lt;&gt;Terminé",of_etat,"&lt;&gt;Annulé")</f>
        <v>34.0</v>
      </c>
      <c r="C6" s="29" t="n"/>
      <c r="D6" s="30" t="n"/>
      <c r="E6" s="31">
        <f>COUNTIF(of_etat,"En retard")</f>
        <v>2.0</v>
      </c>
      <c r="F6" s="29" t="n"/>
      <c r="G6" s="30" t="n"/>
      <c r="H6" s="32">
        <f>SUMIFS(of_hours,of_etat,"&lt;&gt;Terminé",of_etat,"&lt;&gt;Annulé")</f>
        <v>977.04</v>
      </c>
      <c r="I6" s="29" t="n"/>
      <c r="J6" s="30" t="n"/>
      <c r="K6" s="33">
        <f>IF(SUM(E13:E16)=0,0,SUM(D13:D16)/SUM(E13:E16))</f>
        <v>0.704664351851852</v>
      </c>
      <c r="L6" s="29" t="n"/>
      <c r="M6" s="30" t="n"/>
      <c r="N6" s="34">
        <f>IF(COUNTIF(of_etat,"En retard")+COUNTIF(of_etat,"Juste")+COUNTIF(of_etat,"À l'heure")=0,0,(COUNTIF(of_etat,"Juste")+COUNTIF(of_etat,"À l'heure"))/(COUNTIF(of_etat,"En retard")+COUNTIF(of_etat,"Juste")+COUNTIF(of_etat,"À l'heure")))</f>
        <v>0.941176470588235</v>
      </c>
      <c r="O6" s="29" t="n"/>
      <c r="P6" s="30" t="n"/>
    </row>
    <row r="7" ht="16" customHeight="1">
      <c r="B7" s="35" t="inlineStr">
        <is>
          <t>À lancer ou en cours</t>
        </is>
      </c>
      <c r="C7" s="9" t="n"/>
      <c r="D7" s="36" t="n"/>
      <c r="E7" s="37" t="inlineStr">
        <is>
          <t>Fin prévue après le besoin</t>
        </is>
      </c>
      <c r="F7" s="9" t="n"/>
      <c r="G7" s="36" t="n"/>
      <c r="H7" s="38" t="inlineStr">
        <is>
          <t>Réglages compris</t>
        </is>
      </c>
      <c r="I7" s="9" t="n"/>
      <c r="J7" s="36" t="n"/>
      <c r="K7" s="39" t="inlineStr">
        <is>
          <t>Charge / capacité de l'atelier</t>
        </is>
      </c>
      <c r="L7" s="9" t="n"/>
      <c r="M7" s="36" t="n"/>
      <c r="N7" s="40" t="inlineStr">
        <is>
          <t>Parmi les OF datés à réaliser</t>
        </is>
      </c>
      <c r="O7" s="9" t="n"/>
      <c r="P7" s="36" t="n"/>
    </row>
    <row r="9">
      <c r="B9" s="41" t="str">
        <f>IF(COUNTIF(of_check,"?*")-COUNTIF(of_check,"OK")&gt;0,COUNTIF(of_check,"?*")-COUNTIF(of_check,"OK")&amp;" OF signalé(s) dans la colonne Contrôle : filtrez-la pour les corriger.","Tous les OF saisis sont valides.")</f>
        <v>Tous les OF saisis sont valides.</v>
      </c>
    </row>
    <row r="11" ht="22" customHeight="1">
      <c r="B11" s="5" t="inlineStr">
        <is>
          <t>Charge et capacité de l'atelier, 12 semaines</t>
        </is>
      </c>
      <c r="C11" s="6" t="n"/>
      <c r="D11" s="6" t="n"/>
      <c r="E11" s="6" t="n"/>
      <c r="F11" s="6" t="n"/>
    </row>
    <row r="12" ht="20" customHeight="1">
      <c r="B12" s="42" t="inlineStr">
        <is>
          <t>Semaine</t>
        </is>
      </c>
      <c r="C12" s="42" t="inlineStr">
        <is>
          <t>Lundi</t>
        </is>
      </c>
      <c r="D12" s="42" t="inlineStr">
        <is>
          <t>Charge (h)</t>
        </is>
      </c>
      <c r="E12" s="42" t="inlineStr">
        <is>
          <t>Capacité (h)</t>
        </is>
      </c>
      <c r="F12" s="42" t="inlineStr">
        <is>
          <t>Taux</t>
        </is>
      </c>
    </row>
    <row r="13">
      <c r="B13" s="43" t="str">
        <f>'Charge par poste'!C6</f>
        <v>S45</v>
      </c>
      <c r="C13" s="44">
        <f>'Charge par poste'!C7</f>
        <v>46328.0</v>
      </c>
      <c r="D13" s="45">
        <f>'Charge par poste'!C28</f>
        <v>191.685</v>
      </c>
      <c r="E13" s="45">
        <f>'Charge par poste'!C54</f>
        <v>256.0</v>
      </c>
      <c r="F13" s="46">
        <f>IF(N(E13)=0,"",D13/E13)</f>
        <v>0.74876953125</v>
      </c>
    </row>
    <row r="14">
      <c r="B14" s="43" t="str">
        <f>'Charge par poste'!D6</f>
        <v>S46</v>
      </c>
      <c r="C14" s="44">
        <f>'Charge par poste'!D7</f>
        <v>46335.0</v>
      </c>
      <c r="D14" s="45">
        <f>'Charge par poste'!D28</f>
        <v>238.5225</v>
      </c>
      <c r="E14" s="45">
        <f>'Charge par poste'!D54</f>
        <v>320.0</v>
      </c>
      <c r="F14" s="46">
        <f>IF(N(E14)=0,"",D14/E14)</f>
        <v>0.7453828125</v>
      </c>
    </row>
    <row r="15">
      <c r="B15" s="43" t="str">
        <f>'Charge par poste'!E6</f>
        <v>S47</v>
      </c>
      <c r="C15" s="44">
        <f>'Charge par poste'!E7</f>
        <v>46342.0</v>
      </c>
      <c r="D15" s="45">
        <f>'Charge par poste'!E28</f>
        <v>171.9395</v>
      </c>
      <c r="E15" s="45">
        <f>'Charge par poste'!E54</f>
        <v>256.0</v>
      </c>
      <c r="F15" s="46">
        <f>IF(N(E15)=0,"",D15/E15)</f>
        <v>0.671638671875</v>
      </c>
    </row>
    <row r="16">
      <c r="B16" s="43" t="str">
        <f>'Charge par poste'!F6</f>
        <v>S48</v>
      </c>
      <c r="C16" s="44">
        <f>'Charge par poste'!F7</f>
        <v>46349.0</v>
      </c>
      <c r="D16" s="45">
        <f>'Charge par poste'!F28</f>
        <v>209.626333333333</v>
      </c>
      <c r="E16" s="45">
        <f>'Charge par poste'!F54</f>
        <v>320.0</v>
      </c>
      <c r="F16" s="46">
        <f>IF(N(E16)=0,"",D16/E16)</f>
        <v>0.655082291666667</v>
      </c>
    </row>
    <row r="17">
      <c r="B17" s="43" t="str">
        <f>'Charge par poste'!G6</f>
        <v>S49</v>
      </c>
      <c r="C17" s="44">
        <f>'Charge par poste'!G7</f>
        <v>46356.0</v>
      </c>
      <c r="D17" s="45">
        <f>'Charge par poste'!G28</f>
        <v>78.2666666666667</v>
      </c>
      <c r="E17" s="45">
        <f>'Charge par poste'!G54</f>
        <v>320.0</v>
      </c>
      <c r="F17" s="46">
        <f>IF(N(E17)=0,"",D17/E17)</f>
        <v>0.244583333333333</v>
      </c>
    </row>
    <row r="18">
      <c r="B18" s="43" t="str">
        <f>'Charge par poste'!H6</f>
        <v>S50</v>
      </c>
      <c r="C18" s="44">
        <f>'Charge par poste'!H7</f>
        <v>46363.0</v>
      </c>
      <c r="D18" s="45">
        <f>'Charge par poste'!H28</f>
        <v>63.2</v>
      </c>
      <c r="E18" s="45">
        <f>'Charge par poste'!H54</f>
        <v>320.0</v>
      </c>
      <c r="F18" s="46">
        <f>IF(N(E18)=0,"",D18/E18)</f>
        <v>0.1975</v>
      </c>
    </row>
    <row r="19">
      <c r="B19" s="43" t="str">
        <f>'Charge par poste'!I6</f>
        <v>S51</v>
      </c>
      <c r="C19" s="44">
        <f>'Charge par poste'!I7</f>
        <v>46370.0</v>
      </c>
      <c r="D19" s="45">
        <f>'Charge par poste'!I28</f>
        <v>23.8</v>
      </c>
      <c r="E19" s="45">
        <f>'Charge par poste'!I54</f>
        <v>320.0</v>
      </c>
      <c r="F19" s="46">
        <f>IF(N(E19)=0,"",D19/E19)</f>
        <v>0.074375</v>
      </c>
    </row>
    <row r="20">
      <c r="B20" s="43" t="str">
        <f>'Charge par poste'!J6</f>
        <v>S52</v>
      </c>
      <c r="C20" s="44">
        <f>'Charge par poste'!J7</f>
        <v>46377.0</v>
      </c>
      <c r="D20" s="45">
        <f>'Charge par poste'!J28</f>
        <v>0.0</v>
      </c>
      <c r="E20" s="45">
        <f>'Charge par poste'!J54</f>
        <v>320.0</v>
      </c>
      <c r="F20" s="46">
        <f>IF(N(E20)=0,"",D20/E20)</f>
        <v>0.0</v>
      </c>
    </row>
    <row r="21">
      <c r="B21" s="43" t="str">
        <f>'Charge par poste'!K6</f>
        <v>S53</v>
      </c>
      <c r="C21" s="44">
        <f>'Charge par poste'!K7</f>
        <v>46384.0</v>
      </c>
      <c r="D21" s="45">
        <f>'Charge par poste'!K28</f>
        <v>0.0</v>
      </c>
      <c r="E21" s="45">
        <f>'Charge par poste'!K54</f>
        <v>256.0</v>
      </c>
      <c r="F21" s="46">
        <f>IF(N(E21)=0,"",D21/E21)</f>
        <v>0.0</v>
      </c>
    </row>
    <row r="22">
      <c r="B22" s="43" t="str">
        <f>'Charge par poste'!L6</f>
        <v>S1</v>
      </c>
      <c r="C22" s="44">
        <f>'Charge par poste'!L7</f>
        <v>46391.0</v>
      </c>
      <c r="D22" s="45">
        <f>'Charge par poste'!L28</f>
        <v>0.0</v>
      </c>
      <c r="E22" s="45">
        <f>'Charge par poste'!L54</f>
        <v>320.0</v>
      </c>
      <c r="F22" s="46">
        <f>IF(N(E22)=0,"",D22/E22)</f>
        <v>0.0</v>
      </c>
    </row>
    <row r="23">
      <c r="B23" s="43" t="str">
        <f>'Charge par poste'!M6</f>
        <v>S2</v>
      </c>
      <c r="C23" s="44">
        <f>'Charge par poste'!M7</f>
        <v>46398.0</v>
      </c>
      <c r="D23" s="45">
        <f>'Charge par poste'!M28</f>
        <v>0.0</v>
      </c>
      <c r="E23" s="45">
        <f>'Charge par poste'!M54</f>
        <v>192.0</v>
      </c>
      <c r="F23" s="46">
        <f>IF(N(E23)=0,"",D23/E23)</f>
        <v>0.0</v>
      </c>
    </row>
    <row r="24">
      <c r="B24" s="43" t="str">
        <f>'Charge par poste'!N6</f>
        <v>S3</v>
      </c>
      <c r="C24" s="44">
        <f>'Charge par poste'!N7</f>
        <v>46405.0</v>
      </c>
      <c r="D24" s="45">
        <f>'Charge par poste'!N28</f>
        <v>0.0</v>
      </c>
      <c r="E24" s="45">
        <f>'Charge par poste'!N54</f>
        <v>320.0</v>
      </c>
      <c r="F24" s="46">
        <f>IF(N(E24)=0,"",D24/E24)</f>
        <v>0.0</v>
      </c>
    </row>
    <row r="27" ht="22" customHeight="1">
      <c r="B27" s="5" t="inlineStr">
        <is>
          <t>Où en sont les OF</t>
        </is>
      </c>
      <c r="C27" s="6" t="n"/>
      <c r="D27" s="6" t="n"/>
      <c r="E27" s="6" t="n"/>
      <c r="F27" s="6" t="n"/>
      <c r="H27" s="5" t="inlineStr">
        <is>
          <t>OF en retard ou à surveiller (les 12 premiers)</t>
        </is>
      </c>
      <c r="I27" s="6" t="n"/>
      <c r="J27" s="6" t="n"/>
      <c r="K27" s="6" t="n"/>
      <c r="L27" s="6" t="n"/>
      <c r="M27" s="6" t="n"/>
      <c r="N27" s="6" t="n"/>
      <c r="O27" s="6" t="n"/>
      <c r="P27" s="6" t="n"/>
    </row>
    <row r="28" ht="20" customHeight="1">
      <c r="B28" s="42" t="inlineStr">
        <is>
          <t>État</t>
        </is>
      </c>
      <c r="C28" s="47" t="n"/>
      <c r="D28" s="42" t="inlineStr">
        <is>
          <t>Nombre</t>
        </is>
      </c>
      <c r="H28" s="48" t="inlineStr">
        <is>
          <t>N° OF</t>
        </is>
      </c>
      <c r="I28" s="48" t="inlineStr">
        <is>
          <t>Désignation</t>
        </is>
      </c>
      <c r="J28" s="48" t="n"/>
      <c r="K28" s="48" t="inlineStr">
        <is>
          <t>Poste</t>
        </is>
      </c>
      <c r="L28" s="48" t="inlineStr">
        <is>
          <t>Fin prévue</t>
        </is>
      </c>
      <c r="M28" s="48" t="n"/>
      <c r="N28" s="48" t="inlineStr">
        <is>
          <t>Besoin</t>
        </is>
      </c>
      <c r="O28" s="48" t="inlineStr">
        <is>
          <t>État</t>
        </is>
      </c>
    </row>
    <row r="29">
      <c r="B29" s="49" t="inlineStr">
        <is>
          <t>À l'heure</t>
        </is>
      </c>
      <c r="C29" s="49" t="n"/>
      <c r="D29" s="50">
        <f>COUNTIF(of_etat,"À l'heure")</f>
        <v>30.0</v>
      </c>
      <c r="H29" s="51" t="str">
        <f>IFERROR(INDEX(of_num,MATCH(1,of_rank,0))&amp;"","")</f>
        <v>OF-2611-003</v>
      </c>
      <c r="I29" s="51" t="str">
        <f>IFERROR(INDEX(of_des,MATCH(1,of_rank,0))&amp;"","")</f>
        <v>Tube cadre 40x40 coupé</v>
      </c>
      <c r="J29" s="50" t="n"/>
      <c r="K29" s="50" t="str">
        <f>IFERROR(INDEX(of_poste,MATCH(1,of_rank,0))&amp;"","")</f>
        <v>SCIE</v>
      </c>
      <c r="L29" s="52">
        <f>IFERROR(INDEX(of_end,MATCH(1,of_rank,0)),"")</f>
        <v>46329.0</v>
      </c>
      <c r="M29" s="50" t="n"/>
      <c r="N29" s="52">
        <f>IFERROR(INDEX(of_need,MATCH(1,of_rank,0)),"")</f>
        <v>46331.0</v>
      </c>
      <c r="O29" s="50" t="str">
        <f>IFERROR(INDEX(of_etat,MATCH(1,of_rank,0))&amp;"","")</f>
        <v>Juste</v>
      </c>
    </row>
    <row r="30">
      <c r="B30" s="49" t="inlineStr">
        <is>
          <t>Juste</t>
        </is>
      </c>
      <c r="C30" s="49" t="n"/>
      <c r="D30" s="50">
        <f>COUNTIF(of_etat,"Juste")</f>
        <v>2.0</v>
      </c>
      <c r="H30" s="51" t="str">
        <f>IFERROR(INDEX(of_num,MATCH(2,of_rank,0))&amp;"","")</f>
        <v>OF-2611-006</v>
      </c>
      <c r="I30" s="51" t="str">
        <f>IFERROR(INDEX(of_des,MATCH(2,of_rank,0))&amp;"","")</f>
        <v>Carter de boîte usiné</v>
      </c>
      <c r="J30" s="50" t="n"/>
      <c r="K30" s="50" t="str">
        <f>IFERROR(INDEX(of_poste,MATCH(2,of_rank,0))&amp;"","")</f>
        <v>FRAIS</v>
      </c>
      <c r="L30" s="52">
        <f>IFERROR(INDEX(of_end,MATCH(2,of_rank,0)),"")</f>
        <v>46331.0</v>
      </c>
      <c r="M30" s="50" t="n"/>
      <c r="N30" s="52">
        <f>IFERROR(INDEX(of_need,MATCH(2,of_rank,0)),"")</f>
        <v>46330.0</v>
      </c>
      <c r="O30" s="50" t="str">
        <f>IFERROR(INDEX(of_etat,MATCH(2,of_rank,0))&amp;"","")</f>
        <v>En retard</v>
      </c>
    </row>
    <row r="31">
      <c r="B31" s="49" t="inlineStr">
        <is>
          <t>En retard</t>
        </is>
      </c>
      <c r="C31" s="49" t="n"/>
      <c r="D31" s="50">
        <f>COUNTIF(of_etat,"En retard")</f>
        <v>2.0</v>
      </c>
      <c r="H31" s="51" t="str">
        <f>IFERROR(INDEX(of_num,MATCH(3,of_rank,0))&amp;"","")</f>
        <v>OF-2611-010</v>
      </c>
      <c r="I31" s="51" t="str">
        <f>IFERROR(INDEX(of_des,MATCH(3,of_rank,0))&amp;"","")</f>
        <v>Pignon T15</v>
      </c>
      <c r="J31" s="50" t="n"/>
      <c r="K31" s="50" t="str">
        <f>IFERROR(INDEX(of_poste,MATCH(3,of_rank,0))&amp;"","")</f>
        <v>FRAIS</v>
      </c>
      <c r="L31" s="52">
        <f>IFERROR(INDEX(of_end,MATCH(3,of_rank,0)),"")</f>
        <v>46338.0</v>
      </c>
      <c r="M31" s="50" t="n"/>
      <c r="N31" s="52">
        <f>IFERROR(INDEX(of_need,MATCH(3,of_rank,0)),"")</f>
        <v>46336.0</v>
      </c>
      <c r="O31" s="50" t="str">
        <f>IFERROR(INDEX(of_etat,MATCH(3,of_rank,0))&amp;"","")</f>
        <v>En retard</v>
      </c>
    </row>
    <row r="32">
      <c r="B32" s="49" t="inlineStr">
        <is>
          <t>Sans échéance</t>
        </is>
      </c>
      <c r="C32" s="49" t="n"/>
      <c r="D32" s="50">
        <f>COUNTIF(of_etat,"Sans échéance")</f>
        <v>0.0</v>
      </c>
      <c r="H32" s="51" t="str">
        <f>IFERROR(INDEX(of_num,MATCH(4,of_rank,0))&amp;"","")</f>
        <v>OF-2612-022</v>
      </c>
      <c r="I32" s="51" t="str">
        <f>IFERROR(INDEX(of_des,MATCH(4,of_rank,0))&amp;"","")</f>
        <v>Pignon T15</v>
      </c>
      <c r="J32" s="50" t="n"/>
      <c r="K32" s="50" t="str">
        <f>IFERROR(INDEX(of_poste,MATCH(4,of_rank,0))&amp;"","")</f>
        <v>FRAIS</v>
      </c>
      <c r="L32" s="52">
        <f>IFERROR(INDEX(of_end,MATCH(4,of_rank,0)),"")</f>
        <v>46356.0</v>
      </c>
      <c r="M32" s="50" t="n"/>
      <c r="N32" s="52">
        <f>IFERROR(INDEX(of_need,MATCH(4,of_rank,0)),"")</f>
        <v>46356.0</v>
      </c>
      <c r="O32" s="50" t="str">
        <f>IFERROR(INDEX(of_etat,MATCH(4,of_rank,0))&amp;"","")</f>
        <v>Juste</v>
      </c>
    </row>
    <row r="33">
      <c r="B33" s="49" t="inlineStr">
        <is>
          <t>Terminé</t>
        </is>
      </c>
      <c r="C33" s="49" t="n"/>
      <c r="D33" s="50">
        <f>COUNTIF(of_etat,"Terminé")</f>
        <v>1.0</v>
      </c>
      <c r="H33" s="51" t="str">
        <f>IFERROR(INDEX(of_num,MATCH(5,of_rank,0))&amp;"","")</f>
        <v/>
      </c>
      <c r="I33" s="51" t="str">
        <f>IFERROR(INDEX(of_des,MATCH(5,of_rank,0))&amp;"","")</f>
        <v/>
      </c>
      <c r="J33" s="50" t="n"/>
      <c r="K33" s="50" t="str">
        <f>IFERROR(INDEX(of_poste,MATCH(5,of_rank,0))&amp;"","")</f>
        <v/>
      </c>
      <c r="L33" s="52" t="str">
        <f>IFERROR(INDEX(of_end,MATCH(5,of_rank,0)),"")</f>
        <v/>
      </c>
      <c r="M33" s="50" t="n"/>
      <c r="N33" s="52" t="str">
        <f>IFERROR(INDEX(of_need,MATCH(5,of_rank,0)),"")</f>
        <v/>
      </c>
      <c r="O33" s="50" t="str">
        <f>IFERROR(INDEX(of_etat,MATCH(5,of_rank,0))&amp;"","")</f>
        <v/>
      </c>
    </row>
    <row r="34">
      <c r="B34" s="49" t="inlineStr">
        <is>
          <t>Annulé</t>
        </is>
      </c>
      <c r="C34" s="49" t="n"/>
      <c r="D34" s="50">
        <f>COUNTIF(of_etat,"Annulé")</f>
        <v>1.0</v>
      </c>
      <c r="H34" s="51" t="str">
        <f>IFERROR(INDEX(of_num,MATCH(6,of_rank,0))&amp;"","")</f>
        <v/>
      </c>
      <c r="I34" s="51" t="str">
        <f>IFERROR(INDEX(of_des,MATCH(6,of_rank,0))&amp;"","")</f>
        <v/>
      </c>
      <c r="J34" s="50" t="n"/>
      <c r="K34" s="50" t="str">
        <f>IFERROR(INDEX(of_poste,MATCH(6,of_rank,0))&amp;"","")</f>
        <v/>
      </c>
      <c r="L34" s="52" t="str">
        <f>IFERROR(INDEX(of_end,MATCH(6,of_rank,0)),"")</f>
        <v/>
      </c>
      <c r="M34" s="50" t="n"/>
      <c r="N34" s="52" t="str">
        <f>IFERROR(INDEX(of_need,MATCH(6,of_rank,0)),"")</f>
        <v/>
      </c>
      <c r="O34" s="50" t="str">
        <f>IFERROR(INDEX(of_etat,MATCH(6,of_rank,0))&amp;"","")</f>
        <v/>
      </c>
    </row>
    <row r="35">
      <c r="H35" s="51" t="str">
        <f>IFERROR(INDEX(of_num,MATCH(7,of_rank,0))&amp;"","")</f>
        <v/>
      </c>
      <c r="I35" s="51" t="str">
        <f>IFERROR(INDEX(of_des,MATCH(7,of_rank,0))&amp;"","")</f>
        <v/>
      </c>
      <c r="J35" s="50" t="n"/>
      <c r="K35" s="50" t="str">
        <f>IFERROR(INDEX(of_poste,MATCH(7,of_rank,0))&amp;"","")</f>
        <v/>
      </c>
      <c r="L35" s="52" t="str">
        <f>IFERROR(INDEX(of_end,MATCH(7,of_rank,0)),"")</f>
        <v/>
      </c>
      <c r="M35" s="50" t="n"/>
      <c r="N35" s="52" t="str">
        <f>IFERROR(INDEX(of_need,MATCH(7,of_rank,0)),"")</f>
        <v/>
      </c>
      <c r="O35" s="50" t="str">
        <f>IFERROR(INDEX(of_etat,MATCH(7,of_rank,0))&amp;"","")</f>
        <v/>
      </c>
    </row>
    <row r="36">
      <c r="H36" s="51" t="str">
        <f>IFERROR(INDEX(of_num,MATCH(8,of_rank,0))&amp;"","")</f>
        <v/>
      </c>
      <c r="I36" s="51" t="str">
        <f>IFERROR(INDEX(of_des,MATCH(8,of_rank,0))&amp;"","")</f>
        <v/>
      </c>
      <c r="J36" s="50" t="n"/>
      <c r="K36" s="50" t="str">
        <f>IFERROR(INDEX(of_poste,MATCH(8,of_rank,0))&amp;"","")</f>
        <v/>
      </c>
      <c r="L36" s="52" t="str">
        <f>IFERROR(INDEX(of_end,MATCH(8,of_rank,0)),"")</f>
        <v/>
      </c>
      <c r="M36" s="50" t="n"/>
      <c r="N36" s="52" t="str">
        <f>IFERROR(INDEX(of_need,MATCH(8,of_rank,0)),"")</f>
        <v/>
      </c>
      <c r="O36" s="50" t="str">
        <f>IFERROR(INDEX(of_etat,MATCH(8,of_rank,0))&amp;"","")</f>
        <v/>
      </c>
    </row>
    <row r="37">
      <c r="H37" s="51" t="str">
        <f>IFERROR(INDEX(of_num,MATCH(9,of_rank,0))&amp;"","")</f>
        <v/>
      </c>
      <c r="I37" s="51" t="str">
        <f>IFERROR(INDEX(of_des,MATCH(9,of_rank,0))&amp;"","")</f>
        <v/>
      </c>
      <c r="J37" s="50" t="n"/>
      <c r="K37" s="50" t="str">
        <f>IFERROR(INDEX(of_poste,MATCH(9,of_rank,0))&amp;"","")</f>
        <v/>
      </c>
      <c r="L37" s="52" t="str">
        <f>IFERROR(INDEX(of_end,MATCH(9,of_rank,0)),"")</f>
        <v/>
      </c>
      <c r="M37" s="50" t="n"/>
      <c r="N37" s="52" t="str">
        <f>IFERROR(INDEX(of_need,MATCH(9,of_rank,0)),"")</f>
        <v/>
      </c>
      <c r="O37" s="50" t="str">
        <f>IFERROR(INDEX(of_etat,MATCH(9,of_rank,0))&amp;"","")</f>
        <v/>
      </c>
    </row>
    <row r="38">
      <c r="H38" s="51" t="str">
        <f>IFERROR(INDEX(of_num,MATCH(10,of_rank,0))&amp;"","")</f>
        <v/>
      </c>
      <c r="I38" s="51" t="str">
        <f>IFERROR(INDEX(of_des,MATCH(10,of_rank,0))&amp;"","")</f>
        <v/>
      </c>
      <c r="J38" s="50" t="n"/>
      <c r="K38" s="50" t="str">
        <f>IFERROR(INDEX(of_poste,MATCH(10,of_rank,0))&amp;"","")</f>
        <v/>
      </c>
      <c r="L38" s="52" t="str">
        <f>IFERROR(INDEX(of_end,MATCH(10,of_rank,0)),"")</f>
        <v/>
      </c>
      <c r="M38" s="50" t="n"/>
      <c r="N38" s="52" t="str">
        <f>IFERROR(INDEX(of_need,MATCH(10,of_rank,0)),"")</f>
        <v/>
      </c>
      <c r="O38" s="50" t="str">
        <f>IFERROR(INDEX(of_etat,MATCH(10,of_rank,0))&amp;"","")</f>
        <v/>
      </c>
    </row>
    <row r="39">
      <c r="H39" s="51" t="str">
        <f>IFERROR(INDEX(of_num,MATCH(11,of_rank,0))&amp;"","")</f>
        <v/>
      </c>
      <c r="I39" s="51" t="str">
        <f>IFERROR(INDEX(of_des,MATCH(11,of_rank,0))&amp;"","")</f>
        <v/>
      </c>
      <c r="J39" s="50" t="n"/>
      <c r="K39" s="50" t="str">
        <f>IFERROR(INDEX(of_poste,MATCH(11,of_rank,0))&amp;"","")</f>
        <v/>
      </c>
      <c r="L39" s="52" t="str">
        <f>IFERROR(INDEX(of_end,MATCH(11,of_rank,0)),"")</f>
        <v/>
      </c>
      <c r="M39" s="50" t="n"/>
      <c r="N39" s="52" t="str">
        <f>IFERROR(INDEX(of_need,MATCH(11,of_rank,0)),"")</f>
        <v/>
      </c>
      <c r="O39" s="50" t="str">
        <f>IFERROR(INDEX(of_etat,MATCH(11,of_rank,0))&amp;"","")</f>
        <v/>
      </c>
    </row>
    <row r="40">
      <c r="H40" s="51" t="str">
        <f>IFERROR(INDEX(of_num,MATCH(12,of_rank,0))&amp;"","")</f>
        <v/>
      </c>
      <c r="I40" s="51" t="str">
        <f>IFERROR(INDEX(of_des,MATCH(12,of_rank,0))&amp;"","")</f>
        <v/>
      </c>
      <c r="J40" s="50" t="n"/>
      <c r="K40" s="50" t="str">
        <f>IFERROR(INDEX(of_poste,MATCH(12,of_rank,0))&amp;"","")</f>
        <v/>
      </c>
      <c r="L40" s="52" t="str">
        <f>IFERROR(INDEX(of_end,MATCH(12,of_rank,0)),"")</f>
        <v/>
      </c>
      <c r="M40" s="50" t="n"/>
      <c r="N40" s="52" t="str">
        <f>IFERROR(INDEX(of_need,MATCH(12,of_rank,0)),"")</f>
        <v/>
      </c>
      <c r="O40" s="50" t="str">
        <f>IFERROR(INDEX(of_etat,MATCH(12,of_rank,0))&amp;"","")</f>
        <v/>
      </c>
    </row>
    <row r="41">
      <c r="H41" s="41" t="str">
        <f>IF(COUNT(of_rank)=0,"Aucun OF en retard ni juste.",IF(COUNT(of_rank)&gt;12,"Et "&amp;(COUNT(of_rank)-12)&amp;" autre(s) : filtrez la colonne État de « Ordres de fabrication ».",""))</f>
        <v/>
      </c>
    </row>
  </sheetData>
  <mergeCells count="49">
    <mergeCell ref="I30:J30"/>
    <mergeCell ref="I34:J34"/>
    <mergeCell ref="L32:M32"/>
    <mergeCell ref="N5:P5"/>
    <mergeCell ref="B31:C31"/>
    <mergeCell ref="I36:J36"/>
    <mergeCell ref="L37:M37"/>
    <mergeCell ref="L28:M28"/>
    <mergeCell ref="H7:J7"/>
    <mergeCell ref="E6:G6"/>
    <mergeCell ref="N3:O3"/>
    <mergeCell ref="I32:J32"/>
    <mergeCell ref="L33:M33"/>
    <mergeCell ref="I37:J37"/>
    <mergeCell ref="I28:J28"/>
    <mergeCell ref="L39:M39"/>
    <mergeCell ref="E7:G7"/>
    <mergeCell ref="B6:D6"/>
    <mergeCell ref="N6:P6"/>
    <mergeCell ref="K7:M7"/>
    <mergeCell ref="L30:M30"/>
    <mergeCell ref="B5:D5"/>
    <mergeCell ref="L29:M29"/>
    <mergeCell ref="B29:C29"/>
    <mergeCell ref="L35:M35"/>
    <mergeCell ref="L38:M38"/>
    <mergeCell ref="K6:M6"/>
    <mergeCell ref="H5:J5"/>
    <mergeCell ref="B34:C34"/>
    <mergeCell ref="B28:C28"/>
    <mergeCell ref="I33:J33"/>
    <mergeCell ref="I39:J39"/>
    <mergeCell ref="B7:D7"/>
    <mergeCell ref="L31:M31"/>
    <mergeCell ref="L40:M40"/>
    <mergeCell ref="N7:P7"/>
    <mergeCell ref="B30:C30"/>
    <mergeCell ref="I29:J29"/>
    <mergeCell ref="L34:M34"/>
    <mergeCell ref="I35:J35"/>
    <mergeCell ref="B33:C33"/>
    <mergeCell ref="I38:J38"/>
    <mergeCell ref="E5:G5"/>
    <mergeCell ref="K5:M5"/>
    <mergeCell ref="B32:C32"/>
    <mergeCell ref="I31:J31"/>
    <mergeCell ref="L36:M36"/>
    <mergeCell ref="I40:J40"/>
    <mergeCell ref="H6:J6"/>
  </mergeCells>
  <conditionalFormatting sqref="F13:F24">
    <cfRule type="expression" priority="1" dxfId="0" stopIfTrue="1">
      <formula>AND(ISNUMBER(F13),F13&gt;1)</formula>
    </cfRule>
    <cfRule type="expression" priority="2" dxfId="1" stopIfTrue="1">
      <formula>AND(ISNUMBER(F13),F13&gt;=0.85)</formula>
    </cfRule>
    <cfRule type="expression" priority="3" dxfId="2">
      <formula>AND(ISNUMBER(F13),F13&gt;0)</formula>
    </cfRule>
  </conditionalFormatting>
  <conditionalFormatting sqref="B29:C34">
    <cfRule type="expression" priority="4" dxfId="0">
      <formula>$B29="En retard"</formula>
    </cfRule>
    <cfRule type="expression" priority="5" dxfId="1">
      <formula>$B29="Juste"</formula>
    </cfRule>
    <cfRule type="expression" priority="6" dxfId="2">
      <formula>$B29="À l'heure"</formula>
    </cfRule>
    <cfRule type="expression" priority="7" dxfId="3">
      <formula>$B29="Terminé"</formula>
    </cfRule>
    <cfRule type="expression" priority="8" dxfId="4">
      <formula>$B29="Annulé"</formula>
    </cfRule>
    <cfRule type="expression" priority="9" dxfId="4">
      <formula>$B29="Sans échéance"</formula>
    </cfRule>
    <cfRule type="expression" priority="10" dxfId="5">
      <formula>$B29="À compléter"</formula>
    </cfRule>
  </conditionalFormatting>
  <conditionalFormatting sqref="O29:O40">
    <cfRule type="expression" priority="11" dxfId="0">
      <formula>$O29="En retard"</formula>
    </cfRule>
    <cfRule type="expression" priority="12" dxfId="1">
      <formula>$O29="Juste"</formula>
    </cfRule>
    <cfRule type="expression" priority="13" dxfId="2">
      <formula>$O29="À l'heure"</formula>
    </cfRule>
    <cfRule type="expression" priority="14" dxfId="3">
      <formula>$O29="Terminé"</formula>
    </cfRule>
    <cfRule type="expression" priority="15" dxfId="4">
      <formula>$O29="Annulé"</formula>
    </cfRule>
    <cfRule type="expression" priority="16" dxfId="4">
      <formula>$O29="Sans échéance"</formula>
    </cfRule>
    <cfRule type="expression" priority="17" dxfId="5">
      <formula>$O29="À compléter"</formula>
    </cfRule>
  </conditionalFormatting>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4D7C0F"/>
    <outlinePr summaryBelow="1" summaryRight="1"/>
    <pageSetUpPr fitToPage="1"/>
  </sheetPr>
  <dimension ref="A1:U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26" customWidth="1" min="3" max="3"/>
    <col width="10" customWidth="1" min="4" max="4"/>
    <col width="24" customWidth="1" min="5" max="5"/>
    <col width="12" customWidth="1" min="6" max="6"/>
    <col width="11" customWidth="1" min="7" max="7"/>
    <col width="12" customWidth="1" min="8" max="8"/>
    <col width="9" customWidth="1" min="9" max="9"/>
    <col width="9" customWidth="1" min="10" max="10"/>
    <col width="7" customWidth="1" min="11" max="11"/>
    <col width="12" customWidth="1" min="12" max="12"/>
    <col width="12" customWidth="1" min="13" max="13"/>
    <col width="9" customWidth="1" min="14" max="14"/>
    <col width="13" customWidth="1" min="15" max="15"/>
    <col width="10" customWidth="1" min="16" max="16"/>
    <col width="12" customWidth="1" min="17" max="17"/>
    <col width="13" customWidth="1" min="18" max="18"/>
    <col width="24" customWidth="1" min="19" max="19"/>
    <col hidden="1" width="9" customWidth="1" min="20" max="20"/>
    <col hidden="1" width="7" customWidth="1" min="21" max="21"/>
  </cols>
  <sheetData>
    <row r="1" ht="38" customHeight="1">
      <c r="A1" s="2" t="inlineStr">
        <is>
          <t>Ordres de fabrication</t>
        </is>
      </c>
      <c r="B1" s="1" t="n"/>
      <c r="C1" s="1" t="n"/>
      <c r="D1" s="1" t="n"/>
      <c r="E1" s="1" t="n"/>
      <c r="F1" s="1" t="n"/>
      <c r="G1" s="1" t="n"/>
      <c r="H1" s="1" t="n"/>
      <c r="I1" s="1" t="n"/>
      <c r="J1" s="1" t="n"/>
      <c r="K1" s="1" t="n"/>
      <c r="L1" s="1" t="n"/>
      <c r="M1" s="1" t="n"/>
      <c r="N1" s="1" t="n"/>
      <c r="O1" s="1" t="n"/>
      <c r="P1" s="1" t="n"/>
      <c r="Q1" s="1" t="n"/>
      <c r="R1" s="1" t="n"/>
      <c r="S1" s="18" t="inlineStr">
        <is>
          <t>⌂ Mode d'emploi</t>
        </is>
      </c>
    </row>
    <row r="2" ht="22" customHeight="1">
      <c r="A2" s="4" t="inlineStr">
        <is>
          <t>Une ligne par OF, dans l'ordre de passage souhaité. Remplissez les colonnes blanches, le reste se calcule.</t>
        </is>
      </c>
      <c r="B2" s="3" t="n"/>
      <c r="C2" s="3" t="n"/>
      <c r="D2" s="3" t="n"/>
      <c r="E2" s="3" t="n"/>
      <c r="F2" s="3" t="n"/>
      <c r="G2" s="3" t="n"/>
      <c r="H2" s="3" t="n"/>
      <c r="I2" s="3" t="n"/>
      <c r="J2" s="3" t="n"/>
      <c r="K2" s="3" t="n"/>
      <c r="L2" s="3" t="n"/>
      <c r="M2" s="3" t="n"/>
      <c r="N2" s="3" t="n"/>
      <c r="O2" s="3" t="n"/>
      <c r="P2" s="3" t="n"/>
      <c r="Q2" s="3" t="n"/>
      <c r="R2" s="3" t="n"/>
      <c r="S2" s="3" t="n"/>
    </row>
    <row r="3" ht="18" customHeight="1">
      <c r="Q3" s="16" t="inlineStr">
        <is>
          <t>Saisie</t>
        </is>
      </c>
      <c r="R3" s="17" t="inlineStr">
        <is>
          <t>Calcul auto</t>
        </is>
      </c>
    </row>
    <row r="5" ht="34" customHeight="1">
      <c r="A5" s="42" t="inlineStr">
        <is>
          <t>N° OF</t>
        </is>
      </c>
      <c r="B5" s="42" t="inlineStr">
        <is>
          <t>Référence</t>
        </is>
      </c>
      <c r="C5" s="42" t="inlineStr">
        <is>
          <t>Désignation</t>
        </is>
      </c>
      <c r="D5" s="42" t="inlineStr">
        <is>
          <t>Quantité</t>
        </is>
      </c>
      <c r="E5" s="42" t="inlineStr">
        <is>
          <t>Client / commande</t>
        </is>
      </c>
      <c r="F5" s="42" t="inlineStr">
        <is>
          <t>Date de besoin</t>
        </is>
      </c>
      <c r="G5" s="42" t="inlineStr">
        <is>
          <t>Statut</t>
        </is>
      </c>
      <c r="H5" s="42" t="inlineStr">
        <is>
          <t>Début imposé</t>
        </is>
      </c>
      <c r="I5" s="42" t="inlineStr">
        <is>
          <t>Poste</t>
        </is>
      </c>
      <c r="J5" s="42" t="inlineStr">
        <is>
          <t>Heures</t>
        </is>
      </c>
      <c r="K5" s="42" t="inlineStr">
        <is>
          <t>Jours</t>
        </is>
      </c>
      <c r="L5" s="42" t="inlineStr">
        <is>
          <t>Début</t>
        </is>
      </c>
      <c r="M5" s="42" t="inlineStr">
        <is>
          <t>Fin</t>
        </is>
      </c>
      <c r="N5" s="42" t="inlineStr">
        <is>
          <t>Marge (j)</t>
        </is>
      </c>
      <c r="O5" s="42" t="inlineStr">
        <is>
          <t>État</t>
        </is>
      </c>
      <c r="P5" s="42" t="inlineStr">
        <is>
          <t>Qté produite</t>
        </is>
      </c>
      <c r="Q5" s="42" t="inlineStr">
        <is>
          <t>Avancement</t>
        </is>
      </c>
      <c r="R5" s="42" t="inlineStr">
        <is>
          <t>Coût estimé</t>
        </is>
      </c>
      <c r="S5" s="42" t="inlineStr">
        <is>
          <t>Contrôle</t>
        </is>
      </c>
      <c r="T5" s="42" t="inlineStr">
        <is>
          <t>Heures / jour</t>
        </is>
      </c>
      <c r="U5" s="42" t="inlineStr">
        <is>
          <t>Rang</t>
        </is>
      </c>
    </row>
    <row r="6">
      <c r="A6" s="53" t="inlineStr">
        <is>
          <t>OF-2611-001</t>
        </is>
      </c>
      <c r="B6" s="53" t="inlineStr">
        <is>
          <t>AXE-R20</t>
        </is>
      </c>
      <c r="C6" s="54" t="str">
        <f>IF(B6="","",IFERROR(INDEX(art_des,MATCH($B6,art_ref,0)),"Référence inconnue"))</f>
        <v>Axe de roue Ø20</v>
      </c>
      <c r="D6" s="55" t="n">
        <v>400</v>
      </c>
      <c r="E6" s="53" t="inlineStr">
        <is>
          <t>CV-1182 Atlas Auto</t>
        </is>
      </c>
      <c r="F6" s="56" t="n">
        <v>46332</v>
      </c>
      <c r="G6" s="57" t="inlineStr">
        <is>
          <t>Terminé</t>
        </is>
      </c>
      <c r="H6" s="56" t="n">
        <v>46323</v>
      </c>
      <c r="I6" s="58" t="str">
        <f>IF(B6="","",IFERROR(INDEX(art_poste,MATCH($B6,art_ref,0))&amp;"",""))</f>
        <v>TOUR</v>
      </c>
      <c r="J6" s="59">
        <f>IF(OR(B6="",G6="Annulé",N(D6)&lt;=0),"",IFERROR(ROUND(INDEX(art_setup,MATCH($B6,art_ref,0))+D6*INDEX(art_cycle,MATCH($B6,art_ref,0))/60,2),""))</f>
        <v>21.5</v>
      </c>
      <c r="K6" s="60">
        <f>IF(J6="","",IFERROR(MAX(1,ROUNDUP(J6/INDEX(po_cap,MATCH(I6,po_code,0)),0)),""))</f>
        <v>2.0</v>
      </c>
      <c r="L6" s="61">
        <f>IF(K6="",0,IF(N(H6)&gt;0,H6,WORKDAY.INTL(MAX(p_start-1,0),1,p_weekend,p_holidays)))</f>
        <v>46323.0</v>
      </c>
      <c r="M6" s="61">
        <f>IF(K6="",0,WORKDAY.INTL(L6,K6-1,p_weekend,p_holidays))</f>
        <v>46324.0</v>
      </c>
      <c r="N6" s="62" t="str">
        <f>IF(OR(M6=0,N(F6)=0,G6="Terminé"),"",F6-M6)</f>
        <v/>
      </c>
      <c r="O6" s="58" t="str">
        <f>IF(B6="","",IF(G6="Annulé","Annulé",IF(G6="Terminé","Terminé",IF(M6=0,"À compléter",IF(N(F6)=0,"Sans échéance",IF(M6&gt;F6,"En retard",IF(F6-M6&lt;=p_margin,"Juste","À l'heure")))))))</f>
        <v>Terminé</v>
      </c>
      <c r="P6" s="55" t="n">
        <v>400</v>
      </c>
      <c r="Q6" s="63">
        <f>IF(OR(B6="",N(D6)&lt;=0),"",MIN(1,N(P6)/D6))</f>
        <v>1.0</v>
      </c>
      <c r="R6" s="64">
        <f>IF(OR(J6="",ISNA(MATCH(I6,po_code,0))),"",ROUND(J6*N(INDEX(po_rate,MATCH(I6,po_code,0))),2))</f>
        <v>6880.0</v>
      </c>
      <c r="S6" s="58" t="str">
        <f>IF(AND(A6="",B6=""),"",IF(B6="","Référence manquante",IF(ISNA(MATCH($B6,art_ref,0)),"Référence inconnue",IF(N(D6)&lt;=0,"Quantité invalide",IF(AND(A6&lt;&gt;"",COUNTIF(of_num,A6)&gt;1),"N° OF en double",IF(G6="Annulé","OK",IF(I6="","Poste manquant (gamme)",IF(ISNA(MATCH(I6,po_code,0)),"Poste inconnu",IF(K6="","Capacité du poste nulle",IF(AND(H6&lt;&gt;"",N(H6)=0),"Début imposé invalide",IF(AND(N(H6)&gt;0,WORKDAY.INTL(H6-1,1,p_weekend,p_holidays)&lt;&gt;H6),"Début un jour chômé",IF(AND(N(H6)&gt;0,H6&lt;=0),"Chevauche l'OF précédent",IF(N(F6)=0,"Date de besoin manquante","OK")))))))))))))</f>
        <v>OK</v>
      </c>
      <c r="T6" s="65">
        <f>IF(K6="","",J6/K6)</f>
        <v>10.75</v>
      </c>
      <c r="U6" s="66" t="str">
        <f>IF(OR(O6="En retard",O6="Juste"),COUNTIF($O$6:O6,"En retard")+COUNTIF($O$6:O6,"Juste"),"")</f>
        <v/>
      </c>
    </row>
    <row r="7">
      <c r="A7" s="53" t="inlineStr">
        <is>
          <t>OF-2611-002</t>
        </is>
      </c>
      <c r="B7" s="53" t="inlineStr">
        <is>
          <t>FLA-PL-150</t>
        </is>
      </c>
      <c r="C7" s="54" t="str">
        <f>IF(B7="","",IFERROR(INDEX(art_des,MATCH($B7,art_ref,0)),"Référence inconnue"))</f>
        <v>Flasque usinée 150</v>
      </c>
      <c r="D7" s="55" t="n">
        <v>120</v>
      </c>
      <c r="E7" s="53" t="inlineStr">
        <is>
          <t>CV-1185 Sotrem</t>
        </is>
      </c>
      <c r="F7" s="56" t="n">
        <v>46335</v>
      </c>
      <c r="G7" s="57" t="inlineStr">
        <is>
          <t>En cours</t>
        </is>
      </c>
      <c r="H7" s="56" t="n">
        <v>46328</v>
      </c>
      <c r="I7" s="58" t="str">
        <f>IF(B7="","",IFERROR(INDEX(art_poste,MATCH($B7,art_ref,0))&amp;"",""))</f>
        <v>FRAIS</v>
      </c>
      <c r="J7" s="59">
        <f>IF(OR(B7="",G7="Annulé",N(D7)&lt;=0),"",IFERROR(ROUND(INDEX(art_setup,MATCH($B7,art_ref,0))+D7*INDEX(art_cycle,MATCH($B7,art_ref,0))/60,2),""))</f>
        <v>17.0</v>
      </c>
      <c r="K7" s="60">
        <f>IF(J7="","",IFERROR(MAX(1,ROUNDUP(J7/INDEX(po_cap,MATCH(I7,po_code,0)),0)),""))</f>
        <v>2.0</v>
      </c>
      <c r="L7" s="61">
        <f>IF(K7="",0,IF(N(H7)&gt;0,H7,WORKDAY.INTL(MAX(p_start-1,SUMPRODUCT(MAX(($I$6:$I6=$I7)*$M$6:$M6))),1,p_weekend,p_holidays)))</f>
        <v>46328.0</v>
      </c>
      <c r="M7" s="61">
        <f>IF(K7="",0,WORKDAY.INTL(L7,K7-1,p_weekend,p_holidays))</f>
        <v>46329.0</v>
      </c>
      <c r="N7" s="62">
        <f>IF(OR(M7=0,N(F7)=0,G7="Terminé"),"",F7-M7)</f>
        <v>6.0</v>
      </c>
      <c r="O7" s="58" t="str">
        <f>IF(B7="","",IF(G7="Annulé","Annulé",IF(G7="Terminé","Terminé",IF(M7=0,"À compléter",IF(N(F7)=0,"Sans échéance",IF(M7&gt;F7,"En retard",IF(F7-M7&lt;=p_margin,"Juste","À l'heure")))))))</f>
        <v>À l'heure</v>
      </c>
      <c r="P7" s="55" t="n">
        <v>70</v>
      </c>
      <c r="Q7" s="63">
        <f>IF(OR(B7="",N(D7)&lt;=0),"",MIN(1,N(P7)/D7))</f>
        <v>0.583333333333333</v>
      </c>
      <c r="R7" s="64">
        <f>IF(OR(J7="",ISNA(MATCH(I7,po_code,0))),"",ROUND(J7*N(INDEX(po_rate,MATCH(I7,po_code,0))),2))</f>
        <v>7650.0</v>
      </c>
      <c r="S7" s="58" t="str">
        <f>IF(AND(A7="",B7=""),"",IF(B7="","Référence manquante",IF(ISNA(MATCH($B7,art_ref,0)),"Référence inconnue",IF(N(D7)&lt;=0,"Quantité invalide",IF(AND(A7&lt;&gt;"",COUNTIF(of_num,A7)&gt;1),"N° OF en double",IF(G7="Annulé","OK",IF(I7="","Poste manquant (gamme)",IF(ISNA(MATCH(I7,po_code,0)),"Poste inconnu",IF(K7="","Capacité du poste nulle",IF(AND(H7&lt;&gt;"",N(H7)=0),"Début imposé invalide",IF(AND(N(H7)&gt;0,WORKDAY.INTL(H7-1,1,p_weekend,p_holidays)&lt;&gt;H7),"Début un jour chômé",IF(AND(N(H7)&gt;0,H7&lt;=SUMPRODUCT(MAX(($I$6:$I6=$I7)*$M$6:$M6))),"Chevauche l'OF précédent",IF(N(F7)=0,"Date de besoin manquante","OK")))))))))))))</f>
        <v>OK</v>
      </c>
      <c r="T7" s="65">
        <f>IF(K7="","",J7/K7)</f>
        <v>8.5</v>
      </c>
      <c r="U7" s="66" t="str">
        <f>IF(OR(O7="En retard",O7="Juste"),COUNTIF($O$6:O7,"En retard")+COUNTIF($O$6:O7,"Juste"),"")</f>
        <v/>
      </c>
    </row>
    <row r="8">
      <c r="A8" s="53" t="inlineStr">
        <is>
          <t>OF-2611-003</t>
        </is>
      </c>
      <c r="B8" s="53" t="inlineStr">
        <is>
          <t>TUB-CAD-40</t>
        </is>
      </c>
      <c r="C8" s="54" t="str">
        <f>IF(B8="","",IFERROR(INDEX(art_des,MATCH($B8,art_ref,0)),"Référence inconnue"))</f>
        <v>Tube cadre 40x40 coupé</v>
      </c>
      <c r="D8" s="55" t="n">
        <v>900</v>
      </c>
      <c r="E8" s="53" t="inlineStr">
        <is>
          <t>Stock</t>
        </is>
      </c>
      <c r="F8" s="56" t="n">
        <v>46331</v>
      </c>
      <c r="G8" s="57" t="inlineStr">
        <is>
          <t>En cours</t>
        </is>
      </c>
      <c r="H8" s="56" t="n">
        <v>46328</v>
      </c>
      <c r="I8" s="58" t="str">
        <f>IF(B8="","",IFERROR(INDEX(art_poste,MATCH($B8,art_ref,0))&amp;"",""))</f>
        <v>SCIE</v>
      </c>
      <c r="J8" s="59">
        <f>IF(OR(B8="",G8="Annulé",N(D8)&lt;=0),"",IFERROR(ROUND(INDEX(art_setup,MATCH($B8,art_ref,0))+D8*INDEX(art_cycle,MATCH($B8,art_ref,0))/60,2),""))</f>
        <v>12.3</v>
      </c>
      <c r="K8" s="60">
        <f>IF(J8="","",IFERROR(MAX(1,ROUNDUP(J8/INDEX(po_cap,MATCH(I8,po_code,0)),0)),""))</f>
        <v>2.0</v>
      </c>
      <c r="L8" s="61">
        <f>IF(K8="",0,IF(N(H8)&gt;0,H8,WORKDAY.INTL(MAX(p_start-1,SUMPRODUCT(MAX(($I$6:$I7=$I8)*$M$6:$M7))),1,p_weekend,p_holidays)))</f>
        <v>46328.0</v>
      </c>
      <c r="M8" s="61">
        <f>IF(K8="",0,WORKDAY.INTL(L8,K8-1,p_weekend,p_holidays))</f>
        <v>46329.0</v>
      </c>
      <c r="N8" s="62">
        <f>IF(OR(M8=0,N(F8)=0,G8="Terminé"),"",F8-M8)</f>
        <v>2.0</v>
      </c>
      <c r="O8" s="58" t="str">
        <f>IF(B8="","",IF(G8="Annulé","Annulé",IF(G8="Terminé","Terminé",IF(M8=0,"À compléter",IF(N(F8)=0,"Sans échéance",IF(M8&gt;F8,"En retard",IF(F8-M8&lt;=p_margin,"Juste","À l'heure")))))))</f>
        <v>Juste</v>
      </c>
      <c r="P8" s="55" t="n">
        <v>300</v>
      </c>
      <c r="Q8" s="63">
        <f>IF(OR(B8="",N(D8)&lt;=0),"",MIN(1,N(P8)/D8))</f>
        <v>0.333333333333333</v>
      </c>
      <c r="R8" s="64">
        <f>IF(OR(J8="",ISNA(MATCH(I8,po_code,0))),"",ROUND(J8*N(INDEX(po_rate,MATCH(I8,po_code,0))),2))</f>
        <v>2214.0</v>
      </c>
      <c r="S8" s="58" t="str">
        <f>IF(AND(A8="",B8=""),"",IF(B8="","Référence manquante",IF(ISNA(MATCH($B8,art_ref,0)),"Référence inconnue",IF(N(D8)&lt;=0,"Quantité invalide",IF(AND(A8&lt;&gt;"",COUNTIF(of_num,A8)&gt;1),"N° OF en double",IF(G8="Annulé","OK",IF(I8="","Poste manquant (gamme)",IF(ISNA(MATCH(I8,po_code,0)),"Poste inconnu",IF(K8="","Capacité du poste nulle",IF(AND(H8&lt;&gt;"",N(H8)=0),"Début imposé invalide",IF(AND(N(H8)&gt;0,WORKDAY.INTL(H8-1,1,p_weekend,p_holidays)&lt;&gt;H8),"Début un jour chômé",IF(AND(N(H8)&gt;0,H8&lt;=SUMPRODUCT(MAX(($I$6:$I7=$I8)*$M$6:$M7))),"Chevauche l'OF précédent",IF(N(F8)=0,"Date de besoin manquante","OK")))))))))))))</f>
        <v>OK</v>
      </c>
      <c r="T8" s="65">
        <f>IF(K8="","",J8/K8)</f>
        <v>6.15</v>
      </c>
      <c r="U8" s="66">
        <f>IF(OR(O8="En retard",O8="Juste"),COUNTIF($O$6:O8,"En retard")+COUNTIF($O$6:O8,"Juste"),"")</f>
        <v>1.0</v>
      </c>
    </row>
    <row r="9">
      <c r="A9" s="53" t="inlineStr">
        <is>
          <t>OF-2611-004</t>
        </is>
      </c>
      <c r="B9" s="53" t="inlineStr">
        <is>
          <t>SUP-MOT-01</t>
        </is>
      </c>
      <c r="C9" s="54" t="str">
        <f>IF(B9="","",IFERROR(INDEX(art_des,MATCH($B9,art_ref,0)),"Référence inconnue"))</f>
        <v>Support moteur acier</v>
      </c>
      <c r="D9" s="55" t="n">
        <v>600</v>
      </c>
      <c r="E9" s="53" t="inlineStr">
        <is>
          <t>CV-1190 Atlas Auto</t>
        </is>
      </c>
      <c r="F9" s="56" t="n">
        <v>46336</v>
      </c>
      <c r="G9" s="57" t="inlineStr">
        <is>
          <t>À lancer</t>
        </is>
      </c>
      <c r="H9" s="56" t="n"/>
      <c r="I9" s="58" t="str">
        <f>IF(B9="","",IFERROR(INDEX(art_poste,MATCH($B9,art_ref,0))&amp;"",""))</f>
        <v>PLIE</v>
      </c>
      <c r="J9" s="59">
        <f>IF(OR(B9="",G9="Annulé",N(D9)&lt;=0),"",IFERROR(ROUND(INDEX(art_setup,MATCH($B9,art_ref,0))+D9*INDEX(art_cycle,MATCH($B9,art_ref,0))/60,2),""))</f>
        <v>13.0</v>
      </c>
      <c r="K9" s="60">
        <f>IF(J9="","",IFERROR(MAX(1,ROUNDUP(J9/INDEX(po_cap,MATCH(I9,po_code,0)),0)),""))</f>
        <v>2.0</v>
      </c>
      <c r="L9" s="61">
        <f>IF(K9="",0,IF(N(H9)&gt;0,H9,WORKDAY.INTL(MAX(p_start-1,SUMPRODUCT(MAX(($I$6:$I8=$I9)*$M$6:$M8))),1,p_weekend,p_holidays)))</f>
        <v>46328.0</v>
      </c>
      <c r="M9" s="61">
        <f>IF(K9="",0,WORKDAY.INTL(L9,K9-1,p_weekend,p_holidays))</f>
        <v>46329.0</v>
      </c>
      <c r="N9" s="62">
        <f>IF(OR(M9=0,N(F9)=0,G9="Terminé"),"",F9-M9)</f>
        <v>7.0</v>
      </c>
      <c r="O9" s="58" t="str">
        <f>IF(B9="","",IF(G9="Annulé","Annulé",IF(G9="Terminé","Terminé",IF(M9=0,"À compléter",IF(N(F9)=0,"Sans échéance",IF(M9&gt;F9,"En retard",IF(F9-M9&lt;=p_margin,"Juste","À l'heure")))))))</f>
        <v>À l'heure</v>
      </c>
      <c r="P9" s="55" t="n"/>
      <c r="Q9" s="63">
        <f>IF(OR(B9="",N(D9)&lt;=0),"",MIN(1,N(P9)/D9))</f>
        <v>0.0</v>
      </c>
      <c r="R9" s="64">
        <f>IF(OR(J9="",ISNA(MATCH(I9,po_code,0))),"",ROUND(J9*N(INDEX(po_rate,MATCH(I9,po_code,0))),2))</f>
        <v>2860.0</v>
      </c>
      <c r="S9" s="58" t="str">
        <f>IF(AND(A9="",B9=""),"",IF(B9="","Référence manquante",IF(ISNA(MATCH($B9,art_ref,0)),"Référence inconnue",IF(N(D9)&lt;=0,"Quantité invalide",IF(AND(A9&lt;&gt;"",COUNTIF(of_num,A9)&gt;1),"N° OF en double",IF(G9="Annulé","OK",IF(I9="","Poste manquant (gamme)",IF(ISNA(MATCH(I9,po_code,0)),"Poste inconnu",IF(K9="","Capacité du poste nulle",IF(AND(H9&lt;&gt;"",N(H9)=0),"Début imposé invalide",IF(AND(N(H9)&gt;0,WORKDAY.INTL(H9-1,1,p_weekend,p_holidays)&lt;&gt;H9),"Début un jour chômé",IF(AND(N(H9)&gt;0,H9&lt;=SUMPRODUCT(MAX(($I$6:$I8=$I9)*$M$6:$M8))),"Chevauche l'OF précédent",IF(N(F9)=0,"Date de besoin manquante","OK")))))))))))))</f>
        <v>OK</v>
      </c>
      <c r="T9" s="65">
        <f>IF(K9="","",J9/K9)</f>
        <v>6.5</v>
      </c>
      <c r="U9" s="66" t="str">
        <f>IF(OR(O9="En retard",O9="Juste"),COUNTIF($O$6:O9,"En retard")+COUNTIF($O$6:O9,"Juste"),"")</f>
        <v/>
      </c>
    </row>
    <row r="10">
      <c r="A10" s="53" t="inlineStr">
        <is>
          <t>OF-2611-005</t>
        </is>
      </c>
      <c r="B10" s="53" t="inlineStr">
        <is>
          <t>BRA-SUS-02</t>
        </is>
      </c>
      <c r="C10" s="54" t="str">
        <f>IF(B10="","",IFERROR(INDEX(art_des,MATCH($B10,art_ref,0)),"Référence inconnue"))</f>
        <v>Bras de suspension soudé</v>
      </c>
      <c r="D10" s="55" t="n">
        <v>140</v>
      </c>
      <c r="E10" s="53" t="inlineStr">
        <is>
          <t>CV-1191 Remorques du Sud</t>
        </is>
      </c>
      <c r="F10" s="56" t="n">
        <v>46338</v>
      </c>
      <c r="G10" s="57" t="inlineStr">
        <is>
          <t>À lancer</t>
        </is>
      </c>
      <c r="H10" s="56" t="n"/>
      <c r="I10" s="58" t="str">
        <f>IF(B10="","",IFERROR(INDEX(art_poste,MATCH($B10,art_ref,0))&amp;"",""))</f>
        <v>SOUD</v>
      </c>
      <c r="J10" s="59">
        <f>IF(OR(B10="",G10="Annulé",N(D10)&lt;=0),"",IFERROR(ROUND(INDEX(art_setup,MATCH($B10,art_ref,0))+D10*INDEX(art_cycle,MATCH($B10,art_ref,0))/60,2),""))</f>
        <v>15.67</v>
      </c>
      <c r="K10" s="60">
        <f>IF(J10="","",IFERROR(MAX(1,ROUNDUP(J10/INDEX(po_cap,MATCH(I10,po_code,0)),0)),""))</f>
        <v>3.0</v>
      </c>
      <c r="L10" s="61">
        <f>IF(K10="",0,IF(N(H10)&gt;0,H10,WORKDAY.INTL(MAX(p_start-1,SUMPRODUCT(MAX(($I$6:$I9=$I10)*$M$6:$M9))),1,p_weekend,p_holidays)))</f>
        <v>46328.0</v>
      </c>
      <c r="M10" s="61">
        <f>IF(K10="",0,WORKDAY.INTL(L10,K10-1,p_weekend,p_holidays))</f>
        <v>46330.0</v>
      </c>
      <c r="N10" s="62">
        <f>IF(OR(M10=0,N(F10)=0,G10="Terminé"),"",F10-M10)</f>
        <v>8.0</v>
      </c>
      <c r="O10" s="58" t="str">
        <f>IF(B10="","",IF(G10="Annulé","Annulé",IF(G10="Terminé","Terminé",IF(M10=0,"À compléter",IF(N(F10)=0,"Sans échéance",IF(M10&gt;F10,"En retard",IF(F10-M10&lt;=p_margin,"Juste","À l'heure")))))))</f>
        <v>À l'heure</v>
      </c>
      <c r="P10" s="55" t="n"/>
      <c r="Q10" s="63">
        <f>IF(OR(B10="",N(D10)&lt;=0),"",MIN(1,N(P10)/D10))</f>
        <v>0.0</v>
      </c>
      <c r="R10" s="64">
        <f>IF(OR(J10="",ISNA(MATCH(I10,po_code,0))),"",ROUND(J10*N(INDEX(po_rate,MATCH(I10,po_code,0))),2))</f>
        <v>4074.2</v>
      </c>
      <c r="S10" s="58" t="str">
        <f>IF(AND(A10="",B10=""),"",IF(B10="","Référence manquante",IF(ISNA(MATCH($B10,art_ref,0)),"Référence inconnue",IF(N(D10)&lt;=0,"Quantité invalide",IF(AND(A10&lt;&gt;"",COUNTIF(of_num,A10)&gt;1),"N° OF en double",IF(G10="Annulé","OK",IF(I10="","Poste manquant (gamme)",IF(ISNA(MATCH(I10,po_code,0)),"Poste inconnu",IF(K10="","Capacité du poste nulle",IF(AND(H10&lt;&gt;"",N(H10)=0),"Début imposé invalide",IF(AND(N(H10)&gt;0,WORKDAY.INTL(H10-1,1,p_weekend,p_holidays)&lt;&gt;H10),"Début un jour chômé",IF(AND(N(H10)&gt;0,H10&lt;=SUMPRODUCT(MAX(($I$6:$I9=$I10)*$M$6:$M9))),"Chevauche l'OF précédent",IF(N(F10)=0,"Date de besoin manquante","OK")))))))))))))</f>
        <v>OK</v>
      </c>
      <c r="T10" s="65">
        <f>IF(K10="","",J10/K10)</f>
        <v>5.22333333333333</v>
      </c>
      <c r="U10" s="66" t="str">
        <f>IF(OR(O10="En retard",O10="Juste"),COUNTIF($O$6:O10,"En retard")+COUNTIF($O$6:O10,"Juste"),"")</f>
        <v/>
      </c>
    </row>
    <row r="11">
      <c r="A11" s="53" t="inlineStr">
        <is>
          <t>OF-2611-006</t>
        </is>
      </c>
      <c r="B11" s="53" t="inlineStr">
        <is>
          <t>CAR-BOI-04</t>
        </is>
      </c>
      <c r="C11" s="54" t="str">
        <f>IF(B11="","",IFERROR(INDEX(art_des,MATCH($B11,art_ref,0)),"Référence inconnue"))</f>
        <v>Carter de boîte usiné</v>
      </c>
      <c r="D11" s="55" t="n">
        <v>60</v>
      </c>
      <c r="E11" s="53" t="inlineStr">
        <is>
          <t>CV-1193 Méca Précision</t>
        </is>
      </c>
      <c r="F11" s="56" t="n">
        <v>46330</v>
      </c>
      <c r="G11" s="57" t="inlineStr">
        <is>
          <t>À lancer</t>
        </is>
      </c>
      <c r="H11" s="56" t="n"/>
      <c r="I11" s="58" t="str">
        <f>IF(B11="","",IFERROR(INDEX(art_poste,MATCH($B11,art_ref,0))&amp;"",""))</f>
        <v>FRAIS</v>
      </c>
      <c r="J11" s="59">
        <f>IF(OR(B11="",G11="Annulé",N(D11)&lt;=0),"",IFERROR(ROUND(INDEX(art_setup,MATCH($B11,art_ref,0))+D11*INDEX(art_cycle,MATCH($B11,art_ref,0))/60,2),""))</f>
        <v>25.0</v>
      </c>
      <c r="K11" s="60">
        <f>IF(J11="","",IFERROR(MAX(1,ROUNDUP(J11/INDEX(po_cap,MATCH(I11,po_code,0)),0)),""))</f>
        <v>2.0</v>
      </c>
      <c r="L11" s="61">
        <f>IF(K11="",0,IF(N(H11)&gt;0,H11,WORKDAY.INTL(MAX(p_start-1,SUMPRODUCT(MAX(($I$6:$I10=$I11)*$M$6:$M10))),1,p_weekend,p_holidays)))</f>
        <v>46330.0</v>
      </c>
      <c r="M11" s="61">
        <f>IF(K11="",0,WORKDAY.INTL(L11,K11-1,p_weekend,p_holidays))</f>
        <v>46331.0</v>
      </c>
      <c r="N11" s="62">
        <f>IF(OR(M11=0,N(F11)=0,G11="Terminé"),"",F11-M11)</f>
        <v>-1.0</v>
      </c>
      <c r="O11" s="58" t="str">
        <f>IF(B11="","",IF(G11="Annulé","Annulé",IF(G11="Terminé","Terminé",IF(M11=0,"À compléter",IF(N(F11)=0,"Sans échéance",IF(M11&gt;F11,"En retard",IF(F11-M11&lt;=p_margin,"Juste","À l'heure")))))))</f>
        <v>En retard</v>
      </c>
      <c r="P11" s="55" t="n"/>
      <c r="Q11" s="63">
        <f>IF(OR(B11="",N(D11)&lt;=0),"",MIN(1,N(P11)/D11))</f>
        <v>0.0</v>
      </c>
      <c r="R11" s="64">
        <f>IF(OR(J11="",ISNA(MATCH(I11,po_code,0))),"",ROUND(J11*N(INDEX(po_rate,MATCH(I11,po_code,0))),2))</f>
        <v>11250.0</v>
      </c>
      <c r="S11" s="58" t="str">
        <f>IF(AND(A11="",B11=""),"",IF(B11="","Référence manquante",IF(ISNA(MATCH($B11,art_ref,0)),"Référence inconnue",IF(N(D11)&lt;=0,"Quantité invalide",IF(AND(A11&lt;&gt;"",COUNTIF(of_num,A11)&gt;1),"N° OF en double",IF(G11="Annulé","OK",IF(I11="","Poste manquant (gamme)",IF(ISNA(MATCH(I11,po_code,0)),"Poste inconnu",IF(K11="","Capacité du poste nulle",IF(AND(H11&lt;&gt;"",N(H11)=0),"Début imposé invalide",IF(AND(N(H11)&gt;0,WORKDAY.INTL(H11-1,1,p_weekend,p_holidays)&lt;&gt;H11),"Début un jour chômé",IF(AND(N(H11)&gt;0,H11&lt;=SUMPRODUCT(MAX(($I$6:$I10=$I11)*$M$6:$M10))),"Chevauche l'OF précédent",IF(N(F11)=0,"Date de besoin manquante","OK")))))))))))))</f>
        <v>OK</v>
      </c>
      <c r="T11" s="65">
        <f>IF(K11="","",J11/K11)</f>
        <v>12.5</v>
      </c>
      <c r="U11" s="66">
        <f>IF(OR(O11="En retard",O11="Juste"),COUNTIF($O$6:O11,"En retard")+COUNTIF($O$6:O11,"Juste"),"")</f>
        <v>2.0</v>
      </c>
    </row>
    <row r="12">
      <c r="A12" s="53" t="inlineStr">
        <is>
          <t>OF-2611-007</t>
        </is>
      </c>
      <c r="B12" s="53" t="inlineStr">
        <is>
          <t>BAG-BR-32</t>
        </is>
      </c>
      <c r="C12" s="54" t="str">
        <f>IF(B12="","",IFERROR(INDEX(art_des,MATCH($B12,art_ref,0)),"Référence inconnue"))</f>
        <v>Bague bronze Ø32</v>
      </c>
      <c r="D12" s="55" t="n">
        <v>1200</v>
      </c>
      <c r="E12" s="53" t="inlineStr">
        <is>
          <t>Stock</t>
        </is>
      </c>
      <c r="F12" s="56" t="n">
        <v>46346</v>
      </c>
      <c r="G12" s="57" t="inlineStr">
        <is>
          <t>À lancer</t>
        </is>
      </c>
      <c r="H12" s="56" t="n"/>
      <c r="I12" s="58" t="str">
        <f>IF(B12="","",IFERROR(INDEX(art_poste,MATCH($B12,art_ref,0))&amp;"",""))</f>
        <v>TOUR</v>
      </c>
      <c r="J12" s="59">
        <f>IF(OR(B12="",G12="Annulé",N(D12)&lt;=0),"",IFERROR(ROUND(INDEX(art_setup,MATCH($B12,art_ref,0))+D12*INDEX(art_cycle,MATCH($B12,art_ref,0))/60,2),""))</f>
        <v>37.0</v>
      </c>
      <c r="K12" s="60">
        <f>IF(J12="","",IFERROR(MAX(1,ROUNDUP(J12/INDEX(po_cap,MATCH(I12,po_code,0)),0)),""))</f>
        <v>3.0</v>
      </c>
      <c r="L12" s="61">
        <f>IF(K12="",0,IF(N(H12)&gt;0,H12,WORKDAY.INTL(MAX(p_start-1,SUMPRODUCT(MAX(($I$6:$I11=$I12)*$M$6:$M11))),1,p_weekend,p_holidays)))</f>
        <v>46328.0</v>
      </c>
      <c r="M12" s="61">
        <f>IF(K12="",0,WORKDAY.INTL(L12,K12-1,p_weekend,p_holidays))</f>
        <v>46330.0</v>
      </c>
      <c r="N12" s="62">
        <f>IF(OR(M12=0,N(F12)=0,G12="Terminé"),"",F12-M12)</f>
        <v>16.0</v>
      </c>
      <c r="O12" s="58" t="str">
        <f>IF(B12="","",IF(G12="Annulé","Annulé",IF(G12="Terminé","Terminé",IF(M12=0,"À compléter",IF(N(F12)=0,"Sans échéance",IF(M12&gt;F12,"En retard",IF(F12-M12&lt;=p_margin,"Juste","À l'heure")))))))</f>
        <v>À l'heure</v>
      </c>
      <c r="P12" s="55" t="n"/>
      <c r="Q12" s="63">
        <f>IF(OR(B12="",N(D12)&lt;=0),"",MIN(1,N(P12)/D12))</f>
        <v>0.0</v>
      </c>
      <c r="R12" s="64">
        <f>IF(OR(J12="",ISNA(MATCH(I12,po_code,0))),"",ROUND(J12*N(INDEX(po_rate,MATCH(I12,po_code,0))),2))</f>
        <v>11840.0</v>
      </c>
      <c r="S12" s="58" t="str">
        <f>IF(AND(A12="",B12=""),"",IF(B12="","Référence manquante",IF(ISNA(MATCH($B12,art_ref,0)),"Référence inconnue",IF(N(D12)&lt;=0,"Quantité invalide",IF(AND(A12&lt;&gt;"",COUNTIF(of_num,A12)&gt;1),"N° OF en double",IF(G12="Annulé","OK",IF(I12="","Poste manquant (gamme)",IF(ISNA(MATCH(I12,po_code,0)),"Poste inconnu",IF(K12="","Capacité du poste nulle",IF(AND(H12&lt;&gt;"",N(H12)=0),"Début imposé invalide",IF(AND(N(H12)&gt;0,WORKDAY.INTL(H12-1,1,p_weekend,p_holidays)&lt;&gt;H12),"Début un jour chômé",IF(AND(N(H12)&gt;0,H12&lt;=SUMPRODUCT(MAX(($I$6:$I11=$I12)*$M$6:$M11))),"Chevauche l'OF précédent",IF(N(F12)=0,"Date de besoin manquante","OK")))))))))))))</f>
        <v>OK</v>
      </c>
      <c r="T12" s="65">
        <f>IF(K12="","",J12/K12)</f>
        <v>12.3333333333333</v>
      </c>
      <c r="U12" s="66" t="str">
        <f>IF(OR(O12="En retard",O12="Juste"),COUNTIF($O$6:O12,"En retard")+COUNTIF($O$6:O12,"Juste"),"")</f>
        <v/>
      </c>
    </row>
    <row r="13">
      <c r="A13" s="53" t="inlineStr">
        <is>
          <t>OF-2611-008</t>
        </is>
      </c>
      <c r="B13" s="53" t="inlineStr">
        <is>
          <t>CHA-REM-01</t>
        </is>
      </c>
      <c r="C13" s="54" t="str">
        <f>IF(B13="","",IFERROR(INDEX(art_des,MATCH($B13,art_ref,0)),"Référence inconnue"))</f>
        <v>Châssis remorque soudé</v>
      </c>
      <c r="D13" s="55" t="n">
        <v>12</v>
      </c>
      <c r="E13" s="53" t="inlineStr">
        <is>
          <t>CV-1195 Remorques du Sud</t>
        </is>
      </c>
      <c r="F13" s="56" t="n">
        <v>46345</v>
      </c>
      <c r="G13" s="57" t="inlineStr">
        <is>
          <t>À lancer</t>
        </is>
      </c>
      <c r="H13" s="56" t="n"/>
      <c r="I13" s="58" t="str">
        <f>IF(B13="","",IFERROR(INDEX(art_poste,MATCH($B13,art_ref,0))&amp;"",""))</f>
        <v>SOUD</v>
      </c>
      <c r="J13" s="59">
        <f>IF(OR(B13="",G13="Annulé",N(D13)&lt;=0),"",IFERROR(ROUND(INDEX(art_setup,MATCH($B13,art_ref,0))+D13*INDEX(art_cycle,MATCH($B13,art_ref,0))/60,2),""))</f>
        <v>20.0</v>
      </c>
      <c r="K13" s="60">
        <f>IF(J13="","",IFERROR(MAX(1,ROUNDUP(J13/INDEX(po_cap,MATCH(I13,po_code,0)),0)),""))</f>
        <v>3.0</v>
      </c>
      <c r="L13" s="61">
        <f>IF(K13="",0,IF(N(H13)&gt;0,H13,WORKDAY.INTL(MAX(p_start-1,SUMPRODUCT(MAX(($I$6:$I12=$I13)*$M$6:$M12))),1,p_weekend,p_holidays)))</f>
        <v>46331.0</v>
      </c>
      <c r="M13" s="61">
        <f>IF(K13="",0,WORKDAY.INTL(L13,K13-1,p_weekend,p_holidays))</f>
        <v>46336.0</v>
      </c>
      <c r="N13" s="62">
        <f>IF(OR(M13=0,N(F13)=0,G13="Terminé"),"",F13-M13)</f>
        <v>9.0</v>
      </c>
      <c r="O13" s="58" t="str">
        <f>IF(B13="","",IF(G13="Annulé","Annulé",IF(G13="Terminé","Terminé",IF(M13=0,"À compléter",IF(N(F13)=0,"Sans échéance",IF(M13&gt;F13,"En retard",IF(F13-M13&lt;=p_margin,"Juste","À l'heure")))))))</f>
        <v>À l'heure</v>
      </c>
      <c r="P13" s="55" t="n"/>
      <c r="Q13" s="63">
        <f>IF(OR(B13="",N(D13)&lt;=0),"",MIN(1,N(P13)/D13))</f>
        <v>0.0</v>
      </c>
      <c r="R13" s="64">
        <f>IF(OR(J13="",ISNA(MATCH(I13,po_code,0))),"",ROUND(J13*N(INDEX(po_rate,MATCH(I13,po_code,0))),2))</f>
        <v>5200.0</v>
      </c>
      <c r="S13" s="58" t="str">
        <f>IF(AND(A13="",B13=""),"",IF(B13="","Référence manquante",IF(ISNA(MATCH($B13,art_ref,0)),"Référence inconnue",IF(N(D13)&lt;=0,"Quantité invalide",IF(AND(A13&lt;&gt;"",COUNTIF(of_num,A13)&gt;1),"N° OF en double",IF(G13="Annulé","OK",IF(I13="","Poste manquant (gamme)",IF(ISNA(MATCH(I13,po_code,0)),"Poste inconnu",IF(K13="","Capacité du poste nulle",IF(AND(H13&lt;&gt;"",N(H13)=0),"Début imposé invalide",IF(AND(N(H13)&gt;0,WORKDAY.INTL(H13-1,1,p_weekend,p_holidays)&lt;&gt;H13),"Début un jour chômé",IF(AND(N(H13)&gt;0,H13&lt;=SUMPRODUCT(MAX(($I$6:$I12=$I13)*$M$6:$M12))),"Chevauche l'OF précédent",IF(N(F13)=0,"Date de besoin manquante","OK")))))))))))))</f>
        <v>OK</v>
      </c>
      <c r="T13" s="65">
        <f>IF(K13="","",J13/K13)</f>
        <v>6.66666666666667</v>
      </c>
      <c r="U13" s="66" t="str">
        <f>IF(OR(O13="En retard",O13="Juste"),COUNTIF($O$6:O13,"En retard")+COUNTIF($O$6:O13,"Juste"),"")</f>
        <v/>
      </c>
    </row>
    <row r="14">
      <c r="A14" s="53" t="inlineStr">
        <is>
          <t>OF-2611-009</t>
        </is>
      </c>
      <c r="B14" s="53" t="inlineStr">
        <is>
          <t>PAT-FIX-10</t>
        </is>
      </c>
      <c r="C14" s="54" t="str">
        <f>IF(B14="","",IFERROR(INDEX(art_des,MATCH($B14,art_ref,0)),"Référence inconnue"))</f>
        <v>Patte de fixation pliée</v>
      </c>
      <c r="D14" s="55" t="n">
        <v>2500</v>
      </c>
      <c r="E14" s="53" t="inlineStr">
        <is>
          <t>CV-1196 Atlas Auto</t>
        </is>
      </c>
      <c r="F14" s="56" t="n">
        <v>46342</v>
      </c>
      <c r="G14" s="57" t="inlineStr">
        <is>
          <t>À lancer</t>
        </is>
      </c>
      <c r="H14" s="56" t="n"/>
      <c r="I14" s="58" t="str">
        <f>IF(B14="","",IFERROR(INDEX(art_poste,MATCH($B14,art_ref,0))&amp;"",""))</f>
        <v>PLIE</v>
      </c>
      <c r="J14" s="59">
        <f>IF(OR(B14="",G14="Annulé",N(D14)&lt;=0),"",IFERROR(ROUND(INDEX(art_setup,MATCH($B14,art_ref,0))+D14*INDEX(art_cycle,MATCH($B14,art_ref,0))/60,2),""))</f>
        <v>25.8</v>
      </c>
      <c r="K14" s="60">
        <f>IF(J14="","",IFERROR(MAX(1,ROUNDUP(J14/INDEX(po_cap,MATCH(I14,po_code,0)),0)),""))</f>
        <v>4.0</v>
      </c>
      <c r="L14" s="61">
        <f>IF(K14="",0,IF(N(H14)&gt;0,H14,WORKDAY.INTL(MAX(p_start-1,SUMPRODUCT(MAX(($I$6:$I13=$I14)*$M$6:$M13))),1,p_weekend,p_holidays)))</f>
        <v>46330.0</v>
      </c>
      <c r="M14" s="61">
        <f>IF(K14="",0,WORKDAY.INTL(L14,K14-1,p_weekend,p_holidays))</f>
        <v>46336.0</v>
      </c>
      <c r="N14" s="62">
        <f>IF(OR(M14=0,N(F14)=0,G14="Terminé"),"",F14-M14)</f>
        <v>6.0</v>
      </c>
      <c r="O14" s="58" t="str">
        <f>IF(B14="","",IF(G14="Annulé","Annulé",IF(G14="Terminé","Terminé",IF(M14=0,"À compléter",IF(N(F14)=0,"Sans échéance",IF(M14&gt;F14,"En retard",IF(F14-M14&lt;=p_margin,"Juste","À l'heure")))))))</f>
        <v>À l'heure</v>
      </c>
      <c r="P14" s="55" t="n"/>
      <c r="Q14" s="63">
        <f>IF(OR(B14="",N(D14)&lt;=0),"",MIN(1,N(P14)/D14))</f>
        <v>0.0</v>
      </c>
      <c r="R14" s="64">
        <f>IF(OR(J14="",ISNA(MATCH(I14,po_code,0))),"",ROUND(J14*N(INDEX(po_rate,MATCH(I14,po_code,0))),2))</f>
        <v>5676.0</v>
      </c>
      <c r="S14" s="58" t="str">
        <f>IF(AND(A14="",B14=""),"",IF(B14="","Référence manquante",IF(ISNA(MATCH($B14,art_ref,0)),"Référence inconnue",IF(N(D14)&lt;=0,"Quantité invalide",IF(AND(A14&lt;&gt;"",COUNTIF(of_num,A14)&gt;1),"N° OF en double",IF(G14="Annulé","OK",IF(I14="","Poste manquant (gamme)",IF(ISNA(MATCH(I14,po_code,0)),"Poste inconnu",IF(K14="","Capacité du poste nulle",IF(AND(H14&lt;&gt;"",N(H14)=0),"Début imposé invalide",IF(AND(N(H14)&gt;0,WORKDAY.INTL(H14-1,1,p_weekend,p_holidays)&lt;&gt;H14),"Début un jour chômé",IF(AND(N(H14)&gt;0,H14&lt;=SUMPRODUCT(MAX(($I$6:$I13=$I14)*$M$6:$M13))),"Chevauche l'OF précédent",IF(N(F14)=0,"Date de besoin manquante","OK")))))))))))))</f>
        <v>OK</v>
      </c>
      <c r="T14" s="65">
        <f>IF(K14="","",J14/K14)</f>
        <v>6.45</v>
      </c>
      <c r="U14" s="66" t="str">
        <f>IF(OR(O14="En retard",O14="Juste"),COUNTIF($O$6:O14,"En retard")+COUNTIF($O$6:O14,"Juste"),"")</f>
        <v/>
      </c>
    </row>
    <row r="15">
      <c r="A15" s="53" t="inlineStr">
        <is>
          <t>OF-2611-010</t>
        </is>
      </c>
      <c r="B15" s="53" t="inlineStr">
        <is>
          <t>PIG-T15</t>
        </is>
      </c>
      <c r="C15" s="54" t="str">
        <f>IF(B15="","",IFERROR(INDEX(art_des,MATCH($B15,art_ref,0)),"Référence inconnue"))</f>
        <v>Pignon T15</v>
      </c>
      <c r="D15" s="55" t="n">
        <v>300</v>
      </c>
      <c r="E15" s="53" t="inlineStr">
        <is>
          <t>CV-1198 Transmissions Nord</t>
        </is>
      </c>
      <c r="F15" s="56" t="n">
        <v>46336</v>
      </c>
      <c r="G15" s="57" t="inlineStr">
        <is>
          <t>À lancer</t>
        </is>
      </c>
      <c r="H15" s="56" t="n"/>
      <c r="I15" s="58" t="str">
        <f>IF(B15="","",IFERROR(INDEX(art_poste,MATCH($B15,art_ref,0))&amp;"",""))</f>
        <v>FRAIS</v>
      </c>
      <c r="J15" s="59">
        <f>IF(OR(B15="",G15="Annulé",N(D15)&lt;=0),"",IFERROR(ROUND(INDEX(art_setup,MATCH($B15,art_ref,0))+D15*INDEX(art_cycle,MATCH($B15,art_ref,0))/60,2),""))</f>
        <v>47.5</v>
      </c>
      <c r="K15" s="60">
        <f>IF(J15="","",IFERROR(MAX(1,ROUNDUP(J15/INDEX(po_cap,MATCH(I15,po_code,0)),0)),""))</f>
        <v>4.0</v>
      </c>
      <c r="L15" s="61">
        <f>IF(K15="",0,IF(N(H15)&gt;0,H15,WORKDAY.INTL(MAX(p_start-1,SUMPRODUCT(MAX(($I$6:$I14=$I15)*$M$6:$M14))),1,p_weekend,p_holidays)))</f>
        <v>46335.0</v>
      </c>
      <c r="M15" s="61">
        <f>IF(K15="",0,WORKDAY.INTL(L15,K15-1,p_weekend,p_holidays))</f>
        <v>46338.0</v>
      </c>
      <c r="N15" s="62">
        <f>IF(OR(M15=0,N(F15)=0,G15="Terminé"),"",F15-M15)</f>
        <v>-2.0</v>
      </c>
      <c r="O15" s="58" t="str">
        <f>IF(B15="","",IF(G15="Annulé","Annulé",IF(G15="Terminé","Terminé",IF(M15=0,"À compléter",IF(N(F15)=0,"Sans échéance",IF(M15&gt;F15,"En retard",IF(F15-M15&lt;=p_margin,"Juste","À l'heure")))))))</f>
        <v>En retard</v>
      </c>
      <c r="P15" s="55" t="n"/>
      <c r="Q15" s="63">
        <f>IF(OR(B15="",N(D15)&lt;=0),"",MIN(1,N(P15)/D15))</f>
        <v>0.0</v>
      </c>
      <c r="R15" s="64">
        <f>IF(OR(J15="",ISNA(MATCH(I15,po_code,0))),"",ROUND(J15*N(INDEX(po_rate,MATCH(I15,po_code,0))),2))</f>
        <v>21375.0</v>
      </c>
      <c r="S15" s="58" t="str">
        <f>IF(AND(A15="",B15=""),"",IF(B15="","Référence manquante",IF(ISNA(MATCH($B15,art_ref,0)),"Référence inconnue",IF(N(D15)&lt;=0,"Quantité invalide",IF(AND(A15&lt;&gt;"",COUNTIF(of_num,A15)&gt;1),"N° OF en double",IF(G15="Annulé","OK",IF(I15="","Poste manquant (gamme)",IF(ISNA(MATCH(I15,po_code,0)),"Poste inconnu",IF(K15="","Capacité du poste nulle",IF(AND(H15&lt;&gt;"",N(H15)=0),"Début imposé invalide",IF(AND(N(H15)&gt;0,WORKDAY.INTL(H15-1,1,p_weekend,p_holidays)&lt;&gt;H15),"Début un jour chômé",IF(AND(N(H15)&gt;0,H15&lt;=SUMPRODUCT(MAX(($I$6:$I14=$I15)*$M$6:$M14))),"Chevauche l'OF précédent",IF(N(F15)=0,"Date de besoin manquante","OK")))))))))))))</f>
        <v>OK</v>
      </c>
      <c r="T15" s="65">
        <f>IF(K15="","",J15/K15)</f>
        <v>11.875</v>
      </c>
      <c r="U15" s="66">
        <f>IF(OR(O15="En retard",O15="Juste"),COUNTIF($O$6:O15,"En retard")+COUNTIF($O$6:O15,"Juste"),"")</f>
        <v>3.0</v>
      </c>
    </row>
    <row r="16">
      <c r="A16" s="53" t="inlineStr">
        <is>
          <t>OF-2611-011</t>
        </is>
      </c>
      <c r="B16" s="53" t="inlineStr">
        <is>
          <t>AXE-R20</t>
        </is>
      </c>
      <c r="C16" s="54" t="str">
        <f>IF(B16="","",IFERROR(INDEX(art_des,MATCH($B16,art_ref,0)),"Référence inconnue"))</f>
        <v>Axe de roue Ø20</v>
      </c>
      <c r="D16" s="55" t="n">
        <v>800</v>
      </c>
      <c r="E16" s="53" t="inlineStr">
        <is>
          <t>CV-1199 Atlas Auto</t>
        </is>
      </c>
      <c r="F16" s="56" t="n">
        <v>46346</v>
      </c>
      <c r="G16" s="57" t="inlineStr">
        <is>
          <t>À lancer</t>
        </is>
      </c>
      <c r="H16" s="56" t="n"/>
      <c r="I16" s="58" t="str">
        <f>IF(B16="","",IFERROR(INDEX(art_poste,MATCH($B16,art_ref,0))&amp;"",""))</f>
        <v>TOUR</v>
      </c>
      <c r="J16" s="59">
        <f>IF(OR(B16="",G16="Annulé",N(D16)&lt;=0),"",IFERROR(ROUND(INDEX(art_setup,MATCH($B16,art_ref,0))+D16*INDEX(art_cycle,MATCH($B16,art_ref,0))/60,2),""))</f>
        <v>41.5</v>
      </c>
      <c r="K16" s="60">
        <f>IF(J16="","",IFERROR(MAX(1,ROUNDUP(J16/INDEX(po_cap,MATCH(I16,po_code,0)),0)),""))</f>
        <v>4.0</v>
      </c>
      <c r="L16" s="61">
        <f>IF(K16="",0,IF(N(H16)&gt;0,H16,WORKDAY.INTL(MAX(p_start-1,SUMPRODUCT(MAX(($I$6:$I15=$I16)*$M$6:$M15))),1,p_weekend,p_holidays)))</f>
        <v>46331.0</v>
      </c>
      <c r="M16" s="61">
        <f>IF(K16="",0,WORKDAY.INTL(L16,K16-1,p_weekend,p_holidays))</f>
        <v>46337.0</v>
      </c>
      <c r="N16" s="62">
        <f>IF(OR(M16=0,N(F16)=0,G16="Terminé"),"",F16-M16)</f>
        <v>9.0</v>
      </c>
      <c r="O16" s="58" t="str">
        <f>IF(B16="","",IF(G16="Annulé","Annulé",IF(G16="Terminé","Terminé",IF(M16=0,"À compléter",IF(N(F16)=0,"Sans échéance",IF(M16&gt;F16,"En retard",IF(F16-M16&lt;=p_margin,"Juste","À l'heure")))))))</f>
        <v>À l'heure</v>
      </c>
      <c r="P16" s="55" t="n"/>
      <c r="Q16" s="63">
        <f>IF(OR(B16="",N(D16)&lt;=0),"",MIN(1,N(P16)/D16))</f>
        <v>0.0</v>
      </c>
      <c r="R16" s="64">
        <f>IF(OR(J16="",ISNA(MATCH(I16,po_code,0))),"",ROUND(J16*N(INDEX(po_rate,MATCH(I16,po_code,0))),2))</f>
        <v>13280.0</v>
      </c>
      <c r="S16" s="58" t="str">
        <f>IF(AND(A16="",B16=""),"",IF(B16="","Référence manquante",IF(ISNA(MATCH($B16,art_ref,0)),"Référence inconnue",IF(N(D16)&lt;=0,"Quantité invalide",IF(AND(A16&lt;&gt;"",COUNTIF(of_num,A16)&gt;1),"N° OF en double",IF(G16="Annulé","OK",IF(I16="","Poste manquant (gamme)",IF(ISNA(MATCH(I16,po_code,0)),"Poste inconnu",IF(K16="","Capacité du poste nulle",IF(AND(H16&lt;&gt;"",N(H16)=0),"Début imposé invalide",IF(AND(N(H16)&gt;0,WORKDAY.INTL(H16-1,1,p_weekend,p_holidays)&lt;&gt;H16),"Début un jour chômé",IF(AND(N(H16)&gt;0,H16&lt;=SUMPRODUCT(MAX(($I$6:$I15=$I16)*$M$6:$M15))),"Chevauche l'OF précédent",IF(N(F16)=0,"Date de besoin manquante","OK")))))))))))))</f>
        <v>OK</v>
      </c>
      <c r="T16" s="65">
        <f>IF(K16="","",J16/K16)</f>
        <v>10.375</v>
      </c>
      <c r="U16" s="66" t="str">
        <f>IF(OR(O16="En retard",O16="Juste"),COUNTIF($O$6:O16,"En retard")+COUNTIF($O$6:O16,"Juste"),"")</f>
        <v/>
      </c>
    </row>
    <row r="17">
      <c r="A17" s="53" t="inlineStr">
        <is>
          <t>OF-2611-012</t>
        </is>
      </c>
      <c r="B17" s="53" t="inlineStr">
        <is>
          <t>CHA-REM-P</t>
        </is>
      </c>
      <c r="C17" s="54" t="str">
        <f>IF(B17="","",IFERROR(INDEX(art_des,MATCH($B17,art_ref,0)),"Référence inconnue"))</f>
        <v>Châssis remorque peint</v>
      </c>
      <c r="D17" s="55" t="n">
        <v>12</v>
      </c>
      <c r="E17" s="53" t="inlineStr">
        <is>
          <t>CV-1195 Remorques du Sud</t>
        </is>
      </c>
      <c r="F17" s="56" t="n">
        <v>46350</v>
      </c>
      <c r="G17" s="57" t="inlineStr">
        <is>
          <t>À lancer</t>
        </is>
      </c>
      <c r="H17" s="56" t="n">
        <v>46337</v>
      </c>
      <c r="I17" s="58" t="str">
        <f>IF(B17="","",IFERROR(INDEX(art_poste,MATCH($B17,art_ref,0))&amp;"",""))</f>
        <v>PEINT</v>
      </c>
      <c r="J17" s="59">
        <f>IF(OR(B17="",G17="Annulé",N(D17)&lt;=0),"",IFERROR(ROUND(INDEX(art_setup,MATCH($B17,art_ref,0))+D17*INDEX(art_cycle,MATCH($B17,art_ref,0))/60,2),""))</f>
        <v>4.1</v>
      </c>
      <c r="K17" s="60">
        <f>IF(J17="","",IFERROR(MAX(1,ROUNDUP(J17/INDEX(po_cap,MATCH(I17,po_code,0)),0)),""))</f>
        <v>1.0</v>
      </c>
      <c r="L17" s="61">
        <f>IF(K17="",0,IF(N(H17)&gt;0,H17,WORKDAY.INTL(MAX(p_start-1,SUMPRODUCT(MAX(($I$6:$I16=$I17)*$M$6:$M16))),1,p_weekend,p_holidays)))</f>
        <v>46337.0</v>
      </c>
      <c r="M17" s="61">
        <f>IF(K17="",0,WORKDAY.INTL(L17,K17-1,p_weekend,p_holidays))</f>
        <v>46337.0</v>
      </c>
      <c r="N17" s="62">
        <f>IF(OR(M17=0,N(F17)=0,G17="Terminé"),"",F17-M17)</f>
        <v>13.0</v>
      </c>
      <c r="O17" s="58" t="str">
        <f>IF(B17="","",IF(G17="Annulé","Annulé",IF(G17="Terminé","Terminé",IF(M17=0,"À compléter",IF(N(F17)=0,"Sans échéance",IF(M17&gt;F17,"En retard",IF(F17-M17&lt;=p_margin,"Juste","À l'heure")))))))</f>
        <v>À l'heure</v>
      </c>
      <c r="P17" s="55" t="n"/>
      <c r="Q17" s="63">
        <f>IF(OR(B17="",N(D17)&lt;=0),"",MIN(1,N(P17)/D17))</f>
        <v>0.0</v>
      </c>
      <c r="R17" s="64">
        <f>IF(OR(J17="",ISNA(MATCH(I17,po_code,0))),"",ROUND(J17*N(INDEX(po_rate,MATCH(I17,po_code,0))),2))</f>
        <v>820.0</v>
      </c>
      <c r="S17" s="58" t="str">
        <f>IF(AND(A17="",B17=""),"",IF(B17="","Référence manquante",IF(ISNA(MATCH($B17,art_ref,0)),"Référence inconnue",IF(N(D17)&lt;=0,"Quantité invalide",IF(AND(A17&lt;&gt;"",COUNTIF(of_num,A17)&gt;1),"N° OF en double",IF(G17="Annulé","OK",IF(I17="","Poste manquant (gamme)",IF(ISNA(MATCH(I17,po_code,0)),"Poste inconnu",IF(K17="","Capacité du poste nulle",IF(AND(H17&lt;&gt;"",N(H17)=0),"Début imposé invalide",IF(AND(N(H17)&gt;0,WORKDAY.INTL(H17-1,1,p_weekend,p_holidays)&lt;&gt;H17),"Début un jour chômé",IF(AND(N(H17)&gt;0,H17&lt;=SUMPRODUCT(MAX(($I$6:$I16=$I17)*$M$6:$M16))),"Chevauche l'OF précédent",IF(N(F17)=0,"Date de besoin manquante","OK")))))))))))))</f>
        <v>OK</v>
      </c>
      <c r="T17" s="65">
        <f>IF(K17="","",J17/K17)</f>
        <v>4.1</v>
      </c>
      <c r="U17" s="66" t="str">
        <f>IF(OR(O17="En retard",O17="Juste"),COUNTIF($O$6:O17,"En retard")+COUNTIF($O$6:O17,"Juste"),"")</f>
        <v/>
      </c>
    </row>
    <row r="18">
      <c r="A18" s="53" t="inlineStr">
        <is>
          <t>OF-2611-013</t>
        </is>
      </c>
      <c r="B18" s="53" t="inlineStr">
        <is>
          <t>KIT-ATT-01</t>
        </is>
      </c>
      <c r="C18" s="54" t="str">
        <f>IF(B18="","",IFERROR(INDEX(art_des,MATCH($B18,art_ref,0)),"Référence inconnue"))</f>
        <v>Kit attelage monté</v>
      </c>
      <c r="D18" s="55" t="n">
        <v>150</v>
      </c>
      <c r="E18" s="53" t="inlineStr">
        <is>
          <t>CV-1201 Garage Central</t>
        </is>
      </c>
      <c r="F18" s="56" t="n">
        <v>46351</v>
      </c>
      <c r="G18" s="57" t="inlineStr">
        <is>
          <t>À lancer</t>
        </is>
      </c>
      <c r="H18" s="56" t="n"/>
      <c r="I18" s="58" t="str">
        <f>IF(B18="","",IFERROR(INDEX(art_poste,MATCH($B18,art_ref,0))&amp;"",""))</f>
        <v>MONT</v>
      </c>
      <c r="J18" s="59">
        <f>IF(OR(B18="",G18="Annulé",N(D18)&lt;=0),"",IFERROR(ROUND(INDEX(art_setup,MATCH($B18,art_ref,0))+D18*INDEX(art_cycle,MATCH($B18,art_ref,0))/60,2),""))</f>
        <v>35.3</v>
      </c>
      <c r="K18" s="60">
        <f>IF(J18="","",IFERROR(MAX(1,ROUNDUP(J18/INDEX(po_cap,MATCH(I18,po_code,0)),0)),""))</f>
        <v>5.0</v>
      </c>
      <c r="L18" s="61">
        <f>IF(K18="",0,IF(N(H18)&gt;0,H18,WORKDAY.INTL(MAX(p_start-1,SUMPRODUCT(MAX(($I$6:$I17=$I18)*$M$6:$M17))),1,p_weekend,p_holidays)))</f>
        <v>46328.0</v>
      </c>
      <c r="M18" s="61">
        <f>IF(K18="",0,WORKDAY.INTL(L18,K18-1,p_weekend,p_holidays))</f>
        <v>46335.0</v>
      </c>
      <c r="N18" s="62">
        <f>IF(OR(M18=0,N(F18)=0,G18="Terminé"),"",F18-M18)</f>
        <v>16.0</v>
      </c>
      <c r="O18" s="58" t="str">
        <f>IF(B18="","",IF(G18="Annulé","Annulé",IF(G18="Terminé","Terminé",IF(M18=0,"À compléter",IF(N(F18)=0,"Sans échéance",IF(M18&gt;F18,"En retard",IF(F18-M18&lt;=p_margin,"Juste","À l'heure")))))))</f>
        <v>À l'heure</v>
      </c>
      <c r="P18" s="55" t="n"/>
      <c r="Q18" s="63">
        <f>IF(OR(B18="",N(D18)&lt;=0),"",MIN(1,N(P18)/D18))</f>
        <v>0.0</v>
      </c>
      <c r="R18" s="64">
        <f>IF(OR(J18="",ISNA(MATCH(I18,po_code,0))),"",ROUND(J18*N(INDEX(po_rate,MATCH(I18,po_code,0))),2))</f>
        <v>5295.0</v>
      </c>
      <c r="S18" s="58" t="str">
        <f>IF(AND(A18="",B18=""),"",IF(B18="","Référence manquante",IF(ISNA(MATCH($B18,art_ref,0)),"Référence inconnue",IF(N(D18)&lt;=0,"Quantité invalide",IF(AND(A18&lt;&gt;"",COUNTIF(of_num,A18)&gt;1),"N° OF en double",IF(G18="Annulé","OK",IF(I18="","Poste manquant (gamme)",IF(ISNA(MATCH(I18,po_code,0)),"Poste inconnu",IF(K18="","Capacité du poste nulle",IF(AND(H18&lt;&gt;"",N(H18)=0),"Début imposé invalide",IF(AND(N(H18)&gt;0,WORKDAY.INTL(H18-1,1,p_weekend,p_holidays)&lt;&gt;H18),"Début un jour chômé",IF(AND(N(H18)&gt;0,H18&lt;=SUMPRODUCT(MAX(($I$6:$I17=$I18)*$M$6:$M17))),"Chevauche l'OF précédent",IF(N(F18)=0,"Date de besoin manquante","OK")))))))))))))</f>
        <v>OK</v>
      </c>
      <c r="T18" s="65">
        <f>IF(K18="","",J18/K18)</f>
        <v>7.06</v>
      </c>
      <c r="U18" s="66" t="str">
        <f>IF(OR(O18="En retard",O18="Juste"),COUNTIF($O$6:O18,"En retard")+COUNTIF($O$6:O18,"Juste"),"")</f>
        <v/>
      </c>
    </row>
    <row r="19">
      <c r="A19" s="53" t="inlineStr">
        <is>
          <t>OF-2611-014</t>
        </is>
      </c>
      <c r="B19" s="53" t="inlineStr">
        <is>
          <t>ENT-12</t>
        </is>
      </c>
      <c r="C19" s="54" t="str">
        <f>IF(B19="","",IFERROR(INDEX(art_des,MATCH($B19,art_ref,0)),"Référence inconnue"))</f>
        <v>Entretoise Ø12</v>
      </c>
      <c r="D19" s="55" t="n">
        <v>3000</v>
      </c>
      <c r="E19" s="53" t="inlineStr">
        <is>
          <t>Stock</t>
        </is>
      </c>
      <c r="F19" s="56" t="n">
        <v>46353</v>
      </c>
      <c r="G19" s="57" t="inlineStr">
        <is>
          <t>À lancer</t>
        </is>
      </c>
      <c r="H19" s="56" t="n"/>
      <c r="I19" s="58" t="str">
        <f>IF(B19="","",IFERROR(INDEX(art_poste,MATCH($B19,art_ref,0))&amp;"",""))</f>
        <v>TOUR</v>
      </c>
      <c r="J19" s="59">
        <f>IF(OR(B19="",G19="Annulé",N(D19)&lt;=0),"",IFERROR(ROUND(INDEX(art_setup,MATCH($B19,art_ref,0))+D19*INDEX(art_cycle,MATCH($B19,art_ref,0))/60,2),""))</f>
        <v>45.5</v>
      </c>
      <c r="K19" s="60">
        <f>IF(J19="","",IFERROR(MAX(1,ROUNDUP(J19/INDEX(po_cap,MATCH(I19,po_code,0)),0)),""))</f>
        <v>4.0</v>
      </c>
      <c r="L19" s="61">
        <f>IF(K19="",0,IF(N(H19)&gt;0,H19,WORKDAY.INTL(MAX(p_start-1,SUMPRODUCT(MAX(($I$6:$I18=$I19)*$M$6:$M18))),1,p_weekend,p_holidays)))</f>
        <v>46338.0</v>
      </c>
      <c r="M19" s="61">
        <f>IF(K19="",0,WORKDAY.INTL(L19,K19-1,p_weekend,p_holidays))</f>
        <v>46343.0</v>
      </c>
      <c r="N19" s="62">
        <f>IF(OR(M19=0,N(F19)=0,G19="Terminé"),"",F19-M19)</f>
        <v>10.0</v>
      </c>
      <c r="O19" s="58" t="str">
        <f>IF(B19="","",IF(G19="Annulé","Annulé",IF(G19="Terminé","Terminé",IF(M19=0,"À compléter",IF(N(F19)=0,"Sans échéance",IF(M19&gt;F19,"En retard",IF(F19-M19&lt;=p_margin,"Juste","À l'heure")))))))</f>
        <v>À l'heure</v>
      </c>
      <c r="P19" s="55" t="n"/>
      <c r="Q19" s="63">
        <f>IF(OR(B19="",N(D19)&lt;=0),"",MIN(1,N(P19)/D19))</f>
        <v>0.0</v>
      </c>
      <c r="R19" s="64">
        <f>IF(OR(J19="",ISNA(MATCH(I19,po_code,0))),"",ROUND(J19*N(INDEX(po_rate,MATCH(I19,po_code,0))),2))</f>
        <v>14560.0</v>
      </c>
      <c r="S19" s="58" t="str">
        <f>IF(AND(A19="",B19=""),"",IF(B19="","Référence manquante",IF(ISNA(MATCH($B19,art_ref,0)),"Référence inconnue",IF(N(D19)&lt;=0,"Quantité invalide",IF(AND(A19&lt;&gt;"",COUNTIF(of_num,A19)&gt;1),"N° OF en double",IF(G19="Annulé","OK",IF(I19="","Poste manquant (gamme)",IF(ISNA(MATCH(I19,po_code,0)),"Poste inconnu",IF(K19="","Capacité du poste nulle",IF(AND(H19&lt;&gt;"",N(H19)=0),"Début imposé invalide",IF(AND(N(H19)&gt;0,WORKDAY.INTL(H19-1,1,p_weekend,p_holidays)&lt;&gt;H19),"Début un jour chômé",IF(AND(N(H19)&gt;0,H19&lt;=SUMPRODUCT(MAX(($I$6:$I18=$I19)*$M$6:$M18))),"Chevauche l'OF précédent",IF(N(F19)=0,"Date de besoin manquante","OK")))))))))))))</f>
        <v>OK</v>
      </c>
      <c r="T19" s="65">
        <f>IF(K19="","",J19/K19)</f>
        <v>11.375</v>
      </c>
      <c r="U19" s="66" t="str">
        <f>IF(OR(O19="En retard",O19="Juste"),COUNTIF($O$6:O19,"En retard")+COUNTIF($O$6:O19,"Juste"),"")</f>
        <v/>
      </c>
    </row>
    <row r="20">
      <c r="A20" s="53" t="inlineStr">
        <is>
          <t>OF-2611-015</t>
        </is>
      </c>
      <c r="B20" s="53" t="inlineStr">
        <is>
          <t>GAR-SUP-02</t>
        </is>
      </c>
      <c r="C20" s="54" t="str">
        <f>IF(B20="","",IFERROR(INDEX(art_des,MATCH($B20,art_ref,0)),"Référence inconnue"))</f>
        <v>Support garde-boue plié</v>
      </c>
      <c r="D20" s="55" t="n">
        <v>700</v>
      </c>
      <c r="E20" s="53" t="inlineStr">
        <is>
          <t>CV-1203 Atlas Auto</t>
        </is>
      </c>
      <c r="F20" s="56" t="n">
        <v>46349</v>
      </c>
      <c r="G20" s="57" t="inlineStr">
        <is>
          <t>À lancer</t>
        </is>
      </c>
      <c r="H20" s="56" t="n"/>
      <c r="I20" s="58" t="str">
        <f>IF(B20="","",IFERROR(INDEX(art_poste,MATCH($B20,art_ref,0))&amp;"",""))</f>
        <v>PLIE</v>
      </c>
      <c r="J20" s="59">
        <f>IF(OR(B20="",G20="Annulé",N(D20)&lt;=0),"",IFERROR(ROUND(INDEX(art_setup,MATCH($B20,art_ref,0))+D20*INDEX(art_cycle,MATCH($B20,art_ref,0))/60,2),""))</f>
        <v>18.1</v>
      </c>
      <c r="K20" s="60">
        <f>IF(J20="","",IFERROR(MAX(1,ROUNDUP(J20/INDEX(po_cap,MATCH(I20,po_code,0)),0)),""))</f>
        <v>3.0</v>
      </c>
      <c r="L20" s="61">
        <f>IF(K20="",0,IF(N(H20)&gt;0,H20,WORKDAY.INTL(MAX(p_start-1,SUMPRODUCT(MAX(($I$6:$I19=$I20)*$M$6:$M19))),1,p_weekend,p_holidays)))</f>
        <v>46337.0</v>
      </c>
      <c r="M20" s="61">
        <f>IF(K20="",0,WORKDAY.INTL(L20,K20-1,p_weekend,p_holidays))</f>
        <v>46339.0</v>
      </c>
      <c r="N20" s="62">
        <f>IF(OR(M20=0,N(F20)=0,G20="Terminé"),"",F20-M20)</f>
        <v>10.0</v>
      </c>
      <c r="O20" s="58" t="str">
        <f>IF(B20="","",IF(G20="Annulé","Annulé",IF(G20="Terminé","Terminé",IF(M20=0,"À compléter",IF(N(F20)=0,"Sans échéance",IF(M20&gt;F20,"En retard",IF(F20-M20&lt;=p_margin,"Juste","À l'heure")))))))</f>
        <v>À l'heure</v>
      </c>
      <c r="P20" s="55" t="n"/>
      <c r="Q20" s="63">
        <f>IF(OR(B20="",N(D20)&lt;=0),"",MIN(1,N(P20)/D20))</f>
        <v>0.0</v>
      </c>
      <c r="R20" s="64">
        <f>IF(OR(J20="",ISNA(MATCH(I20,po_code,0))),"",ROUND(J20*N(INDEX(po_rate,MATCH(I20,po_code,0))),2))</f>
        <v>3982.0</v>
      </c>
      <c r="S20" s="58" t="str">
        <f>IF(AND(A20="",B20=""),"",IF(B20="","Référence manquante",IF(ISNA(MATCH($B20,art_ref,0)),"Référence inconnue",IF(N(D20)&lt;=0,"Quantité invalide",IF(AND(A20&lt;&gt;"",COUNTIF(of_num,A20)&gt;1),"N° OF en double",IF(G20="Annulé","OK",IF(I20="","Poste manquant (gamme)",IF(ISNA(MATCH(I20,po_code,0)),"Poste inconnu",IF(K20="","Capacité du poste nulle",IF(AND(H20&lt;&gt;"",N(H20)=0),"Début imposé invalide",IF(AND(N(H20)&gt;0,WORKDAY.INTL(H20-1,1,p_weekend,p_holidays)&lt;&gt;H20),"Début un jour chômé",IF(AND(N(H20)&gt;0,H20&lt;=SUMPRODUCT(MAX(($I$6:$I19=$I20)*$M$6:$M19))),"Chevauche l'OF précédent",IF(N(F20)=0,"Date de besoin manquante","OK")))))))))))))</f>
        <v>OK</v>
      </c>
      <c r="T20" s="65">
        <f>IF(K20="","",J20/K20)</f>
        <v>6.03333333333333</v>
      </c>
      <c r="U20" s="66" t="str">
        <f>IF(OR(O20="En retard",O20="Juste"),COUNTIF($O$6:O20,"En retard")+COUNTIF($O$6:O20,"Juste"),"")</f>
        <v/>
      </c>
    </row>
    <row r="21">
      <c r="A21" s="53" t="inlineStr">
        <is>
          <t>OF-2611-016</t>
        </is>
      </c>
      <c r="B21" s="53" t="inlineStr">
        <is>
          <t>FLA-PL-150</t>
        </is>
      </c>
      <c r="C21" s="54" t="str">
        <f>IF(B21="","",IFERROR(INDEX(art_des,MATCH($B21,art_ref,0)),"Référence inconnue"))</f>
        <v>Flasque usinée 150</v>
      </c>
      <c r="D21" s="55" t="n">
        <v>200</v>
      </c>
      <c r="E21" s="53" t="inlineStr">
        <is>
          <t>CV-1205 Sotrem</t>
        </is>
      </c>
      <c r="F21" s="56" t="n">
        <v>46350</v>
      </c>
      <c r="G21" s="57" t="inlineStr">
        <is>
          <t>À lancer</t>
        </is>
      </c>
      <c r="H21" s="56" t="n"/>
      <c r="I21" s="58" t="str">
        <f>IF(B21="","",IFERROR(INDEX(art_poste,MATCH($B21,art_ref,0))&amp;"",""))</f>
        <v>FRAIS</v>
      </c>
      <c r="J21" s="59">
        <f>IF(OR(B21="",G21="Annulé",N(D21)&lt;=0),"",IFERROR(ROUND(INDEX(art_setup,MATCH($B21,art_ref,0))+D21*INDEX(art_cycle,MATCH($B21,art_ref,0))/60,2),""))</f>
        <v>27.0</v>
      </c>
      <c r="K21" s="60">
        <f>IF(J21="","",IFERROR(MAX(1,ROUNDUP(J21/INDEX(po_cap,MATCH(I21,po_code,0)),0)),""))</f>
        <v>2.0</v>
      </c>
      <c r="L21" s="61">
        <f>IF(K21="",0,IF(N(H21)&gt;0,H21,WORKDAY.INTL(MAX(p_start-1,SUMPRODUCT(MAX(($I$6:$I20=$I21)*$M$6:$M20))),1,p_weekend,p_holidays)))</f>
        <v>46339.0</v>
      </c>
      <c r="M21" s="61">
        <f>IF(K21="",0,WORKDAY.INTL(L21,K21-1,p_weekend,p_holidays))</f>
        <v>46342.0</v>
      </c>
      <c r="N21" s="62">
        <f>IF(OR(M21=0,N(F21)=0,G21="Terminé"),"",F21-M21)</f>
        <v>8.0</v>
      </c>
      <c r="O21" s="58" t="str">
        <f>IF(B21="","",IF(G21="Annulé","Annulé",IF(G21="Terminé","Terminé",IF(M21=0,"À compléter",IF(N(F21)=0,"Sans échéance",IF(M21&gt;F21,"En retard",IF(F21-M21&lt;=p_margin,"Juste","À l'heure")))))))</f>
        <v>À l'heure</v>
      </c>
      <c r="P21" s="55" t="n"/>
      <c r="Q21" s="63">
        <f>IF(OR(B21="",N(D21)&lt;=0),"",MIN(1,N(P21)/D21))</f>
        <v>0.0</v>
      </c>
      <c r="R21" s="64">
        <f>IF(OR(J21="",ISNA(MATCH(I21,po_code,0))),"",ROUND(J21*N(INDEX(po_rate,MATCH(I21,po_code,0))),2))</f>
        <v>12150.0</v>
      </c>
      <c r="S21" s="58" t="str">
        <f>IF(AND(A21="",B21=""),"",IF(B21="","Référence manquante",IF(ISNA(MATCH($B21,art_ref,0)),"Référence inconnue",IF(N(D21)&lt;=0,"Quantité invalide",IF(AND(A21&lt;&gt;"",COUNTIF(of_num,A21)&gt;1),"N° OF en double",IF(G21="Annulé","OK",IF(I21="","Poste manquant (gamme)",IF(ISNA(MATCH(I21,po_code,0)),"Poste inconnu",IF(K21="","Capacité du poste nulle",IF(AND(H21&lt;&gt;"",N(H21)=0),"Début imposé invalide",IF(AND(N(H21)&gt;0,WORKDAY.INTL(H21-1,1,p_weekend,p_holidays)&lt;&gt;H21),"Début un jour chômé",IF(AND(N(H21)&gt;0,H21&lt;=SUMPRODUCT(MAX(($I$6:$I20=$I21)*$M$6:$M20))),"Chevauche l'OF précédent",IF(N(F21)=0,"Date de besoin manquante","OK")))))))))))))</f>
        <v>OK</v>
      </c>
      <c r="T21" s="65">
        <f>IF(K21="","",J21/K21)</f>
        <v>13.5</v>
      </c>
      <c r="U21" s="66" t="str">
        <f>IF(OR(O21="En retard",O21="Juste"),COUNTIF($O$6:O21,"En retard")+COUNTIF($O$6:O21,"Juste"),"")</f>
        <v/>
      </c>
    </row>
    <row r="22">
      <c r="A22" s="53" t="inlineStr">
        <is>
          <t>OF-2611-017</t>
        </is>
      </c>
      <c r="B22" s="53" t="inlineStr">
        <is>
          <t>TUB-CAD-40</t>
        </is>
      </c>
      <c r="C22" s="54" t="str">
        <f>IF(B22="","",IFERROR(INDEX(art_des,MATCH($B22,art_ref,0)),"Référence inconnue"))</f>
        <v>Tube cadre 40x40 coupé</v>
      </c>
      <c r="D22" s="55" t="n">
        <v>1500</v>
      </c>
      <c r="E22" s="53" t="inlineStr">
        <is>
          <t>Stock</t>
        </is>
      </c>
      <c r="F22" s="56" t="n">
        <v>46352</v>
      </c>
      <c r="G22" s="57" t="inlineStr">
        <is>
          <t>À lancer</t>
        </is>
      </c>
      <c r="H22" s="56" t="n"/>
      <c r="I22" s="58" t="str">
        <f>IF(B22="","",IFERROR(INDEX(art_poste,MATCH($B22,art_ref,0))&amp;"",""))</f>
        <v>SCIE</v>
      </c>
      <c r="J22" s="59">
        <f>IF(OR(B22="",G22="Annulé",N(D22)&lt;=0),"",IFERROR(ROUND(INDEX(art_setup,MATCH($B22,art_ref,0))+D22*INDEX(art_cycle,MATCH($B22,art_ref,0))/60,2),""))</f>
        <v>20.3</v>
      </c>
      <c r="K22" s="60">
        <f>IF(J22="","",IFERROR(MAX(1,ROUNDUP(J22/INDEX(po_cap,MATCH(I22,po_code,0)),0)),""))</f>
        <v>3.0</v>
      </c>
      <c r="L22" s="61">
        <f>IF(K22="",0,IF(N(H22)&gt;0,H22,WORKDAY.INTL(MAX(p_start-1,SUMPRODUCT(MAX(($I$6:$I21=$I22)*$M$6:$M21))),1,p_weekend,p_holidays)))</f>
        <v>46330.0</v>
      </c>
      <c r="M22" s="61">
        <f>IF(K22="",0,WORKDAY.INTL(L22,K22-1,p_weekend,p_holidays))</f>
        <v>46335.0</v>
      </c>
      <c r="N22" s="62">
        <f>IF(OR(M22=0,N(F22)=0,G22="Terminé"),"",F22-M22)</f>
        <v>17.0</v>
      </c>
      <c r="O22" s="58" t="str">
        <f>IF(B22="","",IF(G22="Annulé","Annulé",IF(G22="Terminé","Terminé",IF(M22=0,"À compléter",IF(N(F22)=0,"Sans échéance",IF(M22&gt;F22,"En retard",IF(F22-M22&lt;=p_margin,"Juste","À l'heure")))))))</f>
        <v>À l'heure</v>
      </c>
      <c r="P22" s="55" t="n"/>
      <c r="Q22" s="63">
        <f>IF(OR(B22="",N(D22)&lt;=0),"",MIN(1,N(P22)/D22))</f>
        <v>0.0</v>
      </c>
      <c r="R22" s="64">
        <f>IF(OR(J22="",ISNA(MATCH(I22,po_code,0))),"",ROUND(J22*N(INDEX(po_rate,MATCH(I22,po_code,0))),2))</f>
        <v>3654.0</v>
      </c>
      <c r="S22" s="58" t="str">
        <f>IF(AND(A22="",B22=""),"",IF(B22="","Référence manquante",IF(ISNA(MATCH($B22,art_ref,0)),"Référence inconnue",IF(N(D22)&lt;=0,"Quantité invalide",IF(AND(A22&lt;&gt;"",COUNTIF(of_num,A22)&gt;1),"N° OF en double",IF(G22="Annulé","OK",IF(I22="","Poste manquant (gamme)",IF(ISNA(MATCH(I22,po_code,0)),"Poste inconnu",IF(K22="","Capacité du poste nulle",IF(AND(H22&lt;&gt;"",N(H22)=0),"Début imposé invalide",IF(AND(N(H22)&gt;0,WORKDAY.INTL(H22-1,1,p_weekend,p_holidays)&lt;&gt;H22),"Début un jour chômé",IF(AND(N(H22)&gt;0,H22&lt;=SUMPRODUCT(MAX(($I$6:$I21=$I22)*$M$6:$M21))),"Chevauche l'OF précédent",IF(N(F22)=0,"Date de besoin manquante","OK")))))))))))))</f>
        <v>OK</v>
      </c>
      <c r="T22" s="65">
        <f>IF(K22="","",J22/K22)</f>
        <v>6.76666666666667</v>
      </c>
      <c r="U22" s="66" t="str">
        <f>IF(OR(O22="En retard",O22="Juste"),COUNTIF($O$6:O22,"En retard")+COUNTIF($O$6:O22,"Juste"),"")</f>
        <v/>
      </c>
    </row>
    <row r="23">
      <c r="A23" s="53" t="inlineStr">
        <is>
          <t>OF-2611-018</t>
        </is>
      </c>
      <c r="B23" s="53" t="inlineStr">
        <is>
          <t>BRA-SUS-02</t>
        </is>
      </c>
      <c r="C23" s="54" t="str">
        <f>IF(B23="","",IFERROR(INDEX(art_des,MATCH($B23,art_ref,0)),"Référence inconnue"))</f>
        <v>Bras de suspension soudé</v>
      </c>
      <c r="D23" s="55" t="n">
        <v>220</v>
      </c>
      <c r="E23" s="53" t="inlineStr">
        <is>
          <t>CV-1207 Remorques du Sud</t>
        </is>
      </c>
      <c r="F23" s="56" t="n">
        <v>46353</v>
      </c>
      <c r="G23" s="57" t="inlineStr">
        <is>
          <t>À lancer</t>
        </is>
      </c>
      <c r="H23" s="56" t="n"/>
      <c r="I23" s="58" t="str">
        <f>IF(B23="","",IFERROR(INDEX(art_poste,MATCH($B23,art_ref,0))&amp;"",""))</f>
        <v>SOUD</v>
      </c>
      <c r="J23" s="59">
        <f>IF(OR(B23="",G23="Annulé",N(D23)&lt;=0),"",IFERROR(ROUND(INDEX(art_setup,MATCH($B23,art_ref,0))+D23*INDEX(art_cycle,MATCH($B23,art_ref,0))/60,2),""))</f>
        <v>24.33</v>
      </c>
      <c r="K23" s="60">
        <f>IF(J23="","",IFERROR(MAX(1,ROUNDUP(J23/INDEX(po_cap,MATCH(I23,po_code,0)),0)),""))</f>
        <v>4.0</v>
      </c>
      <c r="L23" s="61">
        <f>IF(K23="",0,IF(N(H23)&gt;0,H23,WORKDAY.INTL(MAX(p_start-1,SUMPRODUCT(MAX(($I$6:$I22=$I23)*$M$6:$M22))),1,p_weekend,p_holidays)))</f>
        <v>46337.0</v>
      </c>
      <c r="M23" s="61">
        <f>IF(K23="",0,WORKDAY.INTL(L23,K23-1,p_weekend,p_holidays))</f>
        <v>46342.0</v>
      </c>
      <c r="N23" s="62">
        <f>IF(OR(M23=0,N(F23)=0,G23="Terminé"),"",F23-M23)</f>
        <v>11.0</v>
      </c>
      <c r="O23" s="58" t="str">
        <f>IF(B23="","",IF(G23="Annulé","Annulé",IF(G23="Terminé","Terminé",IF(M23=0,"À compléter",IF(N(F23)=0,"Sans échéance",IF(M23&gt;F23,"En retard",IF(F23-M23&lt;=p_margin,"Juste","À l'heure")))))))</f>
        <v>À l'heure</v>
      </c>
      <c r="P23" s="55" t="n"/>
      <c r="Q23" s="63">
        <f>IF(OR(B23="",N(D23)&lt;=0),"",MIN(1,N(P23)/D23))</f>
        <v>0.0</v>
      </c>
      <c r="R23" s="64">
        <f>IF(OR(J23="",ISNA(MATCH(I23,po_code,0))),"",ROUND(J23*N(INDEX(po_rate,MATCH(I23,po_code,0))),2))</f>
        <v>6325.8</v>
      </c>
      <c r="S23" s="58" t="str">
        <f>IF(AND(A23="",B23=""),"",IF(B23="","Référence manquante",IF(ISNA(MATCH($B23,art_ref,0)),"Référence inconnue",IF(N(D23)&lt;=0,"Quantité invalide",IF(AND(A23&lt;&gt;"",COUNTIF(of_num,A23)&gt;1),"N° OF en double",IF(G23="Annulé","OK",IF(I23="","Poste manquant (gamme)",IF(ISNA(MATCH(I23,po_code,0)),"Poste inconnu",IF(K23="","Capacité du poste nulle",IF(AND(H23&lt;&gt;"",N(H23)=0),"Début imposé invalide",IF(AND(N(H23)&gt;0,WORKDAY.INTL(H23-1,1,p_weekend,p_holidays)&lt;&gt;H23),"Début un jour chômé",IF(AND(N(H23)&gt;0,H23&lt;=SUMPRODUCT(MAX(($I$6:$I22=$I23)*$M$6:$M22))),"Chevauche l'OF précédent",IF(N(F23)=0,"Date de besoin manquante","OK")))))))))))))</f>
        <v>OK</v>
      </c>
      <c r="T23" s="65">
        <f>IF(K23="","",J23/K23)</f>
        <v>6.0825</v>
      </c>
      <c r="U23" s="66" t="str">
        <f>IF(OR(O23="En retard",O23="Juste"),COUNTIF($O$6:O23,"En retard")+COUNTIF($O$6:O23,"Juste"),"")</f>
        <v/>
      </c>
    </row>
    <row r="24">
      <c r="A24" s="53" t="inlineStr">
        <is>
          <t>OF-2611-019</t>
        </is>
      </c>
      <c r="B24" s="53" t="inlineStr">
        <is>
          <t>CAR-BOI-04</t>
        </is>
      </c>
      <c r="C24" s="54" t="str">
        <f>IF(B24="","",IFERROR(INDEX(art_des,MATCH($B24,art_ref,0)),"Référence inconnue"))</f>
        <v>Carter de boîte usiné</v>
      </c>
      <c r="D24" s="55" t="n">
        <v>90</v>
      </c>
      <c r="E24" s="53" t="inlineStr">
        <is>
          <t>CV-1208 Méca Précision</t>
        </is>
      </c>
      <c r="F24" s="56" t="n">
        <v>46357</v>
      </c>
      <c r="G24" s="57" t="inlineStr">
        <is>
          <t>À lancer</t>
        </is>
      </c>
      <c r="H24" s="56" t="n"/>
      <c r="I24" s="58" t="str">
        <f>IF(B24="","",IFERROR(INDEX(art_poste,MATCH($B24,art_ref,0))&amp;"",""))</f>
        <v>FRAIS</v>
      </c>
      <c r="J24" s="59">
        <f>IF(OR(B24="",G24="Annulé",N(D24)&lt;=0),"",IFERROR(ROUND(INDEX(art_setup,MATCH($B24,art_ref,0))+D24*INDEX(art_cycle,MATCH($B24,art_ref,0))/60,2),""))</f>
        <v>36.0</v>
      </c>
      <c r="K24" s="60">
        <f>IF(J24="","",IFERROR(MAX(1,ROUNDUP(J24/INDEX(po_cap,MATCH(I24,po_code,0)),0)),""))</f>
        <v>3.0</v>
      </c>
      <c r="L24" s="61">
        <f>IF(K24="",0,IF(N(H24)&gt;0,H24,WORKDAY.INTL(MAX(p_start-1,SUMPRODUCT(MAX(($I$6:$I23=$I24)*$M$6:$M23))),1,p_weekend,p_holidays)))</f>
        <v>46343.0</v>
      </c>
      <c r="M24" s="61">
        <f>IF(K24="",0,WORKDAY.INTL(L24,K24-1,p_weekend,p_holidays))</f>
        <v>46346.0</v>
      </c>
      <c r="N24" s="62">
        <f>IF(OR(M24=0,N(F24)=0,G24="Terminé"),"",F24-M24)</f>
        <v>11.0</v>
      </c>
      <c r="O24" s="58" t="str">
        <f>IF(B24="","",IF(G24="Annulé","Annulé",IF(G24="Terminé","Terminé",IF(M24=0,"À compléter",IF(N(F24)=0,"Sans échéance",IF(M24&gt;F24,"En retard",IF(F24-M24&lt;=p_margin,"Juste","À l'heure")))))))</f>
        <v>À l'heure</v>
      </c>
      <c r="P24" s="55" t="n"/>
      <c r="Q24" s="63">
        <f>IF(OR(B24="",N(D24)&lt;=0),"",MIN(1,N(P24)/D24))</f>
        <v>0.0</v>
      </c>
      <c r="R24" s="64">
        <f>IF(OR(J24="",ISNA(MATCH(I24,po_code,0))),"",ROUND(J24*N(INDEX(po_rate,MATCH(I24,po_code,0))),2))</f>
        <v>16200.0</v>
      </c>
      <c r="S24" s="58" t="str">
        <f>IF(AND(A24="",B24=""),"",IF(B24="","Référence manquante",IF(ISNA(MATCH($B24,art_ref,0)),"Référence inconnue",IF(N(D24)&lt;=0,"Quantité invalide",IF(AND(A24&lt;&gt;"",COUNTIF(of_num,A24)&gt;1),"N° OF en double",IF(G24="Annulé","OK",IF(I24="","Poste manquant (gamme)",IF(ISNA(MATCH(I24,po_code,0)),"Poste inconnu",IF(K24="","Capacité du poste nulle",IF(AND(H24&lt;&gt;"",N(H24)=0),"Début imposé invalide",IF(AND(N(H24)&gt;0,WORKDAY.INTL(H24-1,1,p_weekend,p_holidays)&lt;&gt;H24),"Début un jour chômé",IF(AND(N(H24)&gt;0,H24&lt;=SUMPRODUCT(MAX(($I$6:$I23=$I24)*$M$6:$M23))),"Chevauche l'OF précédent",IF(N(F24)=0,"Date de besoin manquante","OK")))))))))))))</f>
        <v>OK</v>
      </c>
      <c r="T24" s="65">
        <f>IF(K24="","",J24/K24)</f>
        <v>12.0</v>
      </c>
      <c r="U24" s="66" t="str">
        <f>IF(OR(O24="En retard",O24="Juste"),COUNTIF($O$6:O24,"En retard")+COUNTIF($O$6:O24,"Juste"),"")</f>
        <v/>
      </c>
    </row>
    <row r="25">
      <c r="A25" s="53" t="inlineStr">
        <is>
          <t>OF-2611-020</t>
        </is>
      </c>
      <c r="B25" s="53" t="inlineStr">
        <is>
          <t>SUP-MOT-01</t>
        </is>
      </c>
      <c r="C25" s="54" t="str">
        <f>IF(B25="","",IFERROR(INDEX(art_des,MATCH($B25,art_ref,0)),"Référence inconnue"))</f>
        <v>Support moteur acier</v>
      </c>
      <c r="D25" s="55" t="n">
        <v>900</v>
      </c>
      <c r="E25" s="53" t="inlineStr">
        <is>
          <t>CV-1210 Atlas Auto</t>
        </is>
      </c>
      <c r="F25" s="56" t="n">
        <v>46358</v>
      </c>
      <c r="G25" s="57" t="inlineStr">
        <is>
          <t>À lancer</t>
        </is>
      </c>
      <c r="H25" s="56" t="n"/>
      <c r="I25" s="58" t="str">
        <f>IF(B25="","",IFERROR(INDEX(art_poste,MATCH($B25,art_ref,0))&amp;"",""))</f>
        <v>PLIE</v>
      </c>
      <c r="J25" s="59">
        <f>IF(OR(B25="",G25="Annulé",N(D25)&lt;=0),"",IFERROR(ROUND(INDEX(art_setup,MATCH($B25,art_ref,0))+D25*INDEX(art_cycle,MATCH($B25,art_ref,0))/60,2),""))</f>
        <v>19.0</v>
      </c>
      <c r="K25" s="60">
        <f>IF(J25="","",IFERROR(MAX(1,ROUNDUP(J25/INDEX(po_cap,MATCH(I25,po_code,0)),0)),""))</f>
        <v>3.0</v>
      </c>
      <c r="L25" s="61">
        <f>IF(K25="",0,IF(N(H25)&gt;0,H25,WORKDAY.INTL(MAX(p_start-1,SUMPRODUCT(MAX(($I$6:$I24=$I25)*$M$6:$M24))),1,p_weekend,p_holidays)))</f>
        <v>46342.0</v>
      </c>
      <c r="M25" s="61">
        <f>IF(K25="",0,WORKDAY.INTL(L25,K25-1,p_weekend,p_holidays))</f>
        <v>46345.0</v>
      </c>
      <c r="N25" s="62">
        <f>IF(OR(M25=0,N(F25)=0,G25="Terminé"),"",F25-M25)</f>
        <v>13.0</v>
      </c>
      <c r="O25" s="58" t="str">
        <f>IF(B25="","",IF(G25="Annulé","Annulé",IF(G25="Terminé","Terminé",IF(M25=0,"À compléter",IF(N(F25)=0,"Sans échéance",IF(M25&gt;F25,"En retard",IF(F25-M25&lt;=p_margin,"Juste","À l'heure")))))))</f>
        <v>À l'heure</v>
      </c>
      <c r="P25" s="55" t="n"/>
      <c r="Q25" s="63">
        <f>IF(OR(B25="",N(D25)&lt;=0),"",MIN(1,N(P25)/D25))</f>
        <v>0.0</v>
      </c>
      <c r="R25" s="64">
        <f>IF(OR(J25="",ISNA(MATCH(I25,po_code,0))),"",ROUND(J25*N(INDEX(po_rate,MATCH(I25,po_code,0))),2))</f>
        <v>4180.0</v>
      </c>
      <c r="S25" s="58" t="str">
        <f>IF(AND(A25="",B25=""),"",IF(B25="","Référence manquante",IF(ISNA(MATCH($B25,art_ref,0)),"Référence inconnue",IF(N(D25)&lt;=0,"Quantité invalide",IF(AND(A25&lt;&gt;"",COUNTIF(of_num,A25)&gt;1),"N° OF en double",IF(G25="Annulé","OK",IF(I25="","Poste manquant (gamme)",IF(ISNA(MATCH(I25,po_code,0)),"Poste inconnu",IF(K25="","Capacité du poste nulle",IF(AND(H25&lt;&gt;"",N(H25)=0),"Début imposé invalide",IF(AND(N(H25)&gt;0,WORKDAY.INTL(H25-1,1,p_weekend,p_holidays)&lt;&gt;H25),"Début un jour chômé",IF(AND(N(H25)&gt;0,H25&lt;=SUMPRODUCT(MAX(($I$6:$I24=$I25)*$M$6:$M24))),"Chevauche l'OF précédent",IF(N(F25)=0,"Date de besoin manquante","OK")))))))))))))</f>
        <v>OK</v>
      </c>
      <c r="T25" s="65">
        <f>IF(K25="","",J25/K25)</f>
        <v>6.33333333333333</v>
      </c>
      <c r="U25" s="66" t="str">
        <f>IF(OR(O25="En retard",O25="Juste"),COUNTIF($O$6:O25,"En retard")+COUNTIF($O$6:O25,"Juste"),"")</f>
        <v/>
      </c>
    </row>
    <row r="26">
      <c r="A26" s="53" t="inlineStr">
        <is>
          <t>OF-2612-021</t>
        </is>
      </c>
      <c r="B26" s="53" t="inlineStr">
        <is>
          <t>CHA-REM-01</t>
        </is>
      </c>
      <c r="C26" s="54" t="str">
        <f>IF(B26="","",IFERROR(INDEX(art_des,MATCH($B26,art_ref,0)),"Référence inconnue"))</f>
        <v>Châssis remorque soudé</v>
      </c>
      <c r="D26" s="55" t="n">
        <v>20</v>
      </c>
      <c r="E26" s="53" t="inlineStr">
        <is>
          <t>CV-1212 Remorques du Sud</t>
        </is>
      </c>
      <c r="F26" s="56" t="n">
        <v>46364</v>
      </c>
      <c r="G26" s="57" t="inlineStr">
        <is>
          <t>À lancer</t>
        </is>
      </c>
      <c r="H26" s="56" t="n"/>
      <c r="I26" s="58" t="str">
        <f>IF(B26="","",IFERROR(INDEX(art_poste,MATCH($B26,art_ref,0))&amp;"",""))</f>
        <v>SOUD</v>
      </c>
      <c r="J26" s="59">
        <f>IF(OR(B26="",G26="Annulé",N(D26)&lt;=0),"",IFERROR(ROUND(INDEX(art_setup,MATCH($B26,art_ref,0))+D26*INDEX(art_cycle,MATCH($B26,art_ref,0))/60,2),""))</f>
        <v>32.67</v>
      </c>
      <c r="K26" s="60">
        <f>IF(J26="","",IFERROR(MAX(1,ROUNDUP(J26/INDEX(po_cap,MATCH(I26,po_code,0)),0)),""))</f>
        <v>5.0</v>
      </c>
      <c r="L26" s="61">
        <f>IF(K26="",0,IF(N(H26)&gt;0,H26,WORKDAY.INTL(MAX(p_start-1,SUMPRODUCT(MAX(($I$6:$I25=$I26)*$M$6:$M25))),1,p_weekend,p_holidays)))</f>
        <v>46343.0</v>
      </c>
      <c r="M26" s="61">
        <f>IF(K26="",0,WORKDAY.INTL(L26,K26-1,p_weekend,p_holidays))</f>
        <v>46350.0</v>
      </c>
      <c r="N26" s="62">
        <f>IF(OR(M26=0,N(F26)=0,G26="Terminé"),"",F26-M26)</f>
        <v>14.0</v>
      </c>
      <c r="O26" s="58" t="str">
        <f>IF(B26="","",IF(G26="Annulé","Annulé",IF(G26="Terminé","Terminé",IF(M26=0,"À compléter",IF(N(F26)=0,"Sans échéance",IF(M26&gt;F26,"En retard",IF(F26-M26&lt;=p_margin,"Juste","À l'heure")))))))</f>
        <v>À l'heure</v>
      </c>
      <c r="P26" s="55" t="n"/>
      <c r="Q26" s="63">
        <f>IF(OR(B26="",N(D26)&lt;=0),"",MIN(1,N(P26)/D26))</f>
        <v>0.0</v>
      </c>
      <c r="R26" s="64">
        <f>IF(OR(J26="",ISNA(MATCH(I26,po_code,0))),"",ROUND(J26*N(INDEX(po_rate,MATCH(I26,po_code,0))),2))</f>
        <v>8494.2</v>
      </c>
      <c r="S26" s="58" t="str">
        <f>IF(AND(A26="",B26=""),"",IF(B26="","Référence manquante",IF(ISNA(MATCH($B26,art_ref,0)),"Référence inconnue",IF(N(D26)&lt;=0,"Quantité invalide",IF(AND(A26&lt;&gt;"",COUNTIF(of_num,A26)&gt;1),"N° OF en double",IF(G26="Annulé","OK",IF(I26="","Poste manquant (gamme)",IF(ISNA(MATCH(I26,po_code,0)),"Poste inconnu",IF(K26="","Capacité du poste nulle",IF(AND(H26&lt;&gt;"",N(H26)=0),"Début imposé invalide",IF(AND(N(H26)&gt;0,WORKDAY.INTL(H26-1,1,p_weekend,p_holidays)&lt;&gt;H26),"Début un jour chômé",IF(AND(N(H26)&gt;0,H26&lt;=SUMPRODUCT(MAX(($I$6:$I25=$I26)*$M$6:$M25))),"Chevauche l'OF précédent",IF(N(F26)=0,"Date de besoin manquante","OK")))))))))))))</f>
        <v>OK</v>
      </c>
      <c r="T26" s="65">
        <f>IF(K26="","",J26/K26)</f>
        <v>6.534</v>
      </c>
      <c r="U26" s="66" t="str">
        <f>IF(OR(O26="En retard",O26="Juste"),COUNTIF($O$6:O26,"En retard")+COUNTIF($O$6:O26,"Juste"),"")</f>
        <v/>
      </c>
    </row>
    <row r="27">
      <c r="A27" s="53" t="inlineStr">
        <is>
          <t>OF-2612-022</t>
        </is>
      </c>
      <c r="B27" s="53" t="inlineStr">
        <is>
          <t>PIG-T15</t>
        </is>
      </c>
      <c r="C27" s="54" t="str">
        <f>IF(B27="","",IFERROR(INDEX(art_des,MATCH($B27,art_ref,0)),"Référence inconnue"))</f>
        <v>Pignon T15</v>
      </c>
      <c r="D27" s="55" t="n">
        <v>450</v>
      </c>
      <c r="E27" s="53" t="inlineStr">
        <is>
          <t>CV-1214 Transmissions Nord</t>
        </is>
      </c>
      <c r="F27" s="56" t="n">
        <v>46356</v>
      </c>
      <c r="G27" s="57" t="inlineStr">
        <is>
          <t>À lancer</t>
        </is>
      </c>
      <c r="H27" s="56" t="n"/>
      <c r="I27" s="58" t="str">
        <f>IF(B27="","",IFERROR(INDEX(art_poste,MATCH($B27,art_ref,0))&amp;"",""))</f>
        <v>FRAIS</v>
      </c>
      <c r="J27" s="59">
        <f>IF(OR(B27="",G27="Annulé",N(D27)&lt;=0),"",IFERROR(ROUND(INDEX(art_setup,MATCH($B27,art_ref,0))+D27*INDEX(art_cycle,MATCH($B27,art_ref,0))/60,2),""))</f>
        <v>70.0</v>
      </c>
      <c r="K27" s="60">
        <f>IF(J27="","",IFERROR(MAX(1,ROUNDUP(J27/INDEX(po_cap,MATCH(I27,po_code,0)),0)),""))</f>
        <v>6.0</v>
      </c>
      <c r="L27" s="61">
        <f>IF(K27="",0,IF(N(H27)&gt;0,H27,WORKDAY.INTL(MAX(p_start-1,SUMPRODUCT(MAX(($I$6:$I26=$I27)*$M$6:$M26))),1,p_weekend,p_holidays)))</f>
        <v>46349.0</v>
      </c>
      <c r="M27" s="61">
        <f>IF(K27="",0,WORKDAY.INTL(L27,K27-1,p_weekend,p_holidays))</f>
        <v>46356.0</v>
      </c>
      <c r="N27" s="62">
        <f>IF(OR(M27=0,N(F27)=0,G27="Terminé"),"",F27-M27)</f>
        <v>0.0</v>
      </c>
      <c r="O27" s="58" t="str">
        <f>IF(B27="","",IF(G27="Annulé","Annulé",IF(G27="Terminé","Terminé",IF(M27=0,"À compléter",IF(N(F27)=0,"Sans échéance",IF(M27&gt;F27,"En retard",IF(F27-M27&lt;=p_margin,"Juste","À l'heure")))))))</f>
        <v>Juste</v>
      </c>
      <c r="P27" s="55" t="n"/>
      <c r="Q27" s="63">
        <f>IF(OR(B27="",N(D27)&lt;=0),"",MIN(1,N(P27)/D27))</f>
        <v>0.0</v>
      </c>
      <c r="R27" s="64">
        <f>IF(OR(J27="",ISNA(MATCH(I27,po_code,0))),"",ROUND(J27*N(INDEX(po_rate,MATCH(I27,po_code,0))),2))</f>
        <v>31500.0</v>
      </c>
      <c r="S27" s="58" t="str">
        <f>IF(AND(A27="",B27=""),"",IF(B27="","Référence manquante",IF(ISNA(MATCH($B27,art_ref,0)),"Référence inconnue",IF(N(D27)&lt;=0,"Quantité invalide",IF(AND(A27&lt;&gt;"",COUNTIF(of_num,A27)&gt;1),"N° OF en double",IF(G27="Annulé","OK",IF(I27="","Poste manquant (gamme)",IF(ISNA(MATCH(I27,po_code,0)),"Poste inconnu",IF(K27="","Capacité du poste nulle",IF(AND(H27&lt;&gt;"",N(H27)=0),"Début imposé invalide",IF(AND(N(H27)&gt;0,WORKDAY.INTL(H27-1,1,p_weekend,p_holidays)&lt;&gt;H27),"Début un jour chômé",IF(AND(N(H27)&gt;0,H27&lt;=SUMPRODUCT(MAX(($I$6:$I26=$I27)*$M$6:$M26))),"Chevauche l'OF précédent",IF(N(F27)=0,"Date de besoin manquante","OK")))))))))))))</f>
        <v>OK</v>
      </c>
      <c r="T27" s="65">
        <f>IF(K27="","",J27/K27)</f>
        <v>11.6666666666667</v>
      </c>
      <c r="U27" s="66">
        <f>IF(OR(O27="En retard",O27="Juste"),COUNTIF($O$6:O27,"En retard")+COUNTIF($O$6:O27,"Juste"),"")</f>
        <v>4.0</v>
      </c>
    </row>
    <row r="28">
      <c r="A28" s="53" t="inlineStr">
        <is>
          <t>OF-2612-023</t>
        </is>
      </c>
      <c r="B28" s="53" t="inlineStr">
        <is>
          <t>AXE-R20</t>
        </is>
      </c>
      <c r="C28" s="54" t="str">
        <f>IF(B28="","",IFERROR(INDEX(art_des,MATCH($B28,art_ref,0)),"Référence inconnue"))</f>
        <v>Axe de roue Ø20</v>
      </c>
      <c r="D28" s="55" t="n">
        <v>600</v>
      </c>
      <c r="E28" s="53" t="inlineStr">
        <is>
          <t>Stock</t>
        </is>
      </c>
      <c r="F28" s="56" t="n">
        <v>46365</v>
      </c>
      <c r="G28" s="57" t="inlineStr">
        <is>
          <t>À lancer</t>
        </is>
      </c>
      <c r="H28" s="56" t="n"/>
      <c r="I28" s="58" t="str">
        <f>IF(B28="","",IFERROR(INDEX(art_poste,MATCH($B28,art_ref,0))&amp;"",""))</f>
        <v>TOUR</v>
      </c>
      <c r="J28" s="59">
        <f>IF(OR(B28="",G28="Annulé",N(D28)&lt;=0),"",IFERROR(ROUND(INDEX(art_setup,MATCH($B28,art_ref,0))+D28*INDEX(art_cycle,MATCH($B28,art_ref,0))/60,2),""))</f>
        <v>31.5</v>
      </c>
      <c r="K28" s="60">
        <f>IF(J28="","",IFERROR(MAX(1,ROUNDUP(J28/INDEX(po_cap,MATCH(I28,po_code,0)),0)),""))</f>
        <v>3.0</v>
      </c>
      <c r="L28" s="61">
        <f>IF(K28="",0,IF(N(H28)&gt;0,H28,WORKDAY.INTL(MAX(p_start-1,SUMPRODUCT(MAX(($I$6:$I27=$I28)*$M$6:$M27))),1,p_weekend,p_holidays)))</f>
        <v>46345.0</v>
      </c>
      <c r="M28" s="61">
        <f>IF(K28="",0,WORKDAY.INTL(L28,K28-1,p_weekend,p_holidays))</f>
        <v>46349.0</v>
      </c>
      <c r="N28" s="62">
        <f>IF(OR(M28=0,N(F28)=0,G28="Terminé"),"",F28-M28)</f>
        <v>16.0</v>
      </c>
      <c r="O28" s="58" t="str">
        <f>IF(B28="","",IF(G28="Annulé","Annulé",IF(G28="Terminé","Terminé",IF(M28=0,"À compléter",IF(N(F28)=0,"Sans échéance",IF(M28&gt;F28,"En retard",IF(F28-M28&lt;=p_margin,"Juste","À l'heure")))))))</f>
        <v>À l'heure</v>
      </c>
      <c r="P28" s="55" t="n"/>
      <c r="Q28" s="63">
        <f>IF(OR(B28="",N(D28)&lt;=0),"",MIN(1,N(P28)/D28))</f>
        <v>0.0</v>
      </c>
      <c r="R28" s="64">
        <f>IF(OR(J28="",ISNA(MATCH(I28,po_code,0))),"",ROUND(J28*N(INDEX(po_rate,MATCH(I28,po_code,0))),2))</f>
        <v>10080.0</v>
      </c>
      <c r="S28" s="58" t="str">
        <f>IF(AND(A28="",B28=""),"",IF(B28="","Référence manquante",IF(ISNA(MATCH($B28,art_ref,0)),"Référence inconnue",IF(N(D28)&lt;=0,"Quantité invalide",IF(AND(A28&lt;&gt;"",COUNTIF(of_num,A28)&gt;1),"N° OF en double",IF(G28="Annulé","OK",IF(I28="","Poste manquant (gamme)",IF(ISNA(MATCH(I28,po_code,0)),"Poste inconnu",IF(K28="","Capacité du poste nulle",IF(AND(H28&lt;&gt;"",N(H28)=0),"Début imposé invalide",IF(AND(N(H28)&gt;0,WORKDAY.INTL(H28-1,1,p_weekend,p_holidays)&lt;&gt;H28),"Début un jour chômé",IF(AND(N(H28)&gt;0,H28&lt;=SUMPRODUCT(MAX(($I$6:$I27=$I28)*$M$6:$M27))),"Chevauche l'OF précédent",IF(N(F28)=0,"Date de besoin manquante","OK")))))))))))))</f>
        <v>OK</v>
      </c>
      <c r="T28" s="65">
        <f>IF(K28="","",J28/K28)</f>
        <v>10.5</v>
      </c>
      <c r="U28" s="66" t="str">
        <f>IF(OR(O28="En retard",O28="Juste"),COUNTIF($O$6:O28,"En retard")+COUNTIF($O$6:O28,"Juste"),"")</f>
        <v/>
      </c>
    </row>
    <row r="29">
      <c r="A29" s="53" t="inlineStr">
        <is>
          <t>OF-2612-024</t>
        </is>
      </c>
      <c r="B29" s="53" t="inlineStr">
        <is>
          <t>BAG-BR-32</t>
        </is>
      </c>
      <c r="C29" s="54" t="str">
        <f>IF(B29="","",IFERROR(INDEX(art_des,MATCH($B29,art_ref,0)),"Référence inconnue"))</f>
        <v>Bague bronze Ø32</v>
      </c>
      <c r="D29" s="55" t="n">
        <v>1500</v>
      </c>
      <c r="E29" s="53" t="inlineStr">
        <is>
          <t>CV-1216 Transmissions Nord</t>
        </is>
      </c>
      <c r="F29" s="56" t="n">
        <v>46367</v>
      </c>
      <c r="G29" s="57" t="inlineStr">
        <is>
          <t>À lancer</t>
        </is>
      </c>
      <c r="H29" s="56" t="n"/>
      <c r="I29" s="58" t="str">
        <f>IF(B29="","",IFERROR(INDEX(art_poste,MATCH($B29,art_ref,0))&amp;"",""))</f>
        <v>TOUR</v>
      </c>
      <c r="J29" s="59">
        <f>IF(OR(B29="",G29="Annulé",N(D29)&lt;=0),"",IFERROR(ROUND(INDEX(art_setup,MATCH($B29,art_ref,0))+D29*INDEX(art_cycle,MATCH($B29,art_ref,0))/60,2),""))</f>
        <v>46.0</v>
      </c>
      <c r="K29" s="60">
        <f>IF(J29="","",IFERROR(MAX(1,ROUNDUP(J29/INDEX(po_cap,MATCH(I29,po_code,0)),0)),""))</f>
        <v>4.0</v>
      </c>
      <c r="L29" s="61">
        <f>IF(K29="",0,IF(N(H29)&gt;0,H29,WORKDAY.INTL(MAX(p_start-1,SUMPRODUCT(MAX(($I$6:$I28=$I29)*$M$6:$M28))),1,p_weekend,p_holidays)))</f>
        <v>46350.0</v>
      </c>
      <c r="M29" s="61">
        <f>IF(K29="",0,WORKDAY.INTL(L29,K29-1,p_weekend,p_holidays))</f>
        <v>46353.0</v>
      </c>
      <c r="N29" s="62">
        <f>IF(OR(M29=0,N(F29)=0,G29="Terminé"),"",F29-M29)</f>
        <v>14.0</v>
      </c>
      <c r="O29" s="58" t="str">
        <f>IF(B29="","",IF(G29="Annulé","Annulé",IF(G29="Terminé","Terminé",IF(M29=0,"À compléter",IF(N(F29)=0,"Sans échéance",IF(M29&gt;F29,"En retard",IF(F29-M29&lt;=p_margin,"Juste","À l'heure")))))))</f>
        <v>À l'heure</v>
      </c>
      <c r="P29" s="55" t="n"/>
      <c r="Q29" s="63">
        <f>IF(OR(B29="",N(D29)&lt;=0),"",MIN(1,N(P29)/D29))</f>
        <v>0.0</v>
      </c>
      <c r="R29" s="64">
        <f>IF(OR(J29="",ISNA(MATCH(I29,po_code,0))),"",ROUND(J29*N(INDEX(po_rate,MATCH(I29,po_code,0))),2))</f>
        <v>14720.0</v>
      </c>
      <c r="S29" s="58" t="str">
        <f>IF(AND(A29="",B29=""),"",IF(B29="","Référence manquante",IF(ISNA(MATCH($B29,art_ref,0)),"Référence inconnue",IF(N(D29)&lt;=0,"Quantité invalide",IF(AND(A29&lt;&gt;"",COUNTIF(of_num,A29)&gt;1),"N° OF en double",IF(G29="Annulé","OK",IF(I29="","Poste manquant (gamme)",IF(ISNA(MATCH(I29,po_code,0)),"Poste inconnu",IF(K29="","Capacité du poste nulle",IF(AND(H29&lt;&gt;"",N(H29)=0),"Début imposé invalide",IF(AND(N(H29)&gt;0,WORKDAY.INTL(H29-1,1,p_weekend,p_holidays)&lt;&gt;H29),"Début un jour chômé",IF(AND(N(H29)&gt;0,H29&lt;=SUMPRODUCT(MAX(($I$6:$I28=$I29)*$M$6:$M28))),"Chevauche l'OF précédent",IF(N(F29)=0,"Date de besoin manquante","OK")))))))))))))</f>
        <v>OK</v>
      </c>
      <c r="T29" s="65">
        <f>IF(K29="","",J29/K29)</f>
        <v>11.5</v>
      </c>
      <c r="U29" s="66" t="str">
        <f>IF(OR(O29="En retard",O29="Juste"),COUNTIF($O$6:O29,"En retard")+COUNTIF($O$6:O29,"Juste"),"")</f>
        <v/>
      </c>
    </row>
    <row r="30">
      <c r="A30" s="53" t="inlineStr">
        <is>
          <t>OF-2612-025</t>
        </is>
      </c>
      <c r="B30" s="53" t="inlineStr">
        <is>
          <t>KIT-ATT-01</t>
        </is>
      </c>
      <c r="C30" s="54" t="str">
        <f>IF(B30="","",IFERROR(INDEX(art_des,MATCH($B30,art_ref,0)),"Référence inconnue"))</f>
        <v>Kit attelage monté</v>
      </c>
      <c r="D30" s="55" t="n">
        <v>200</v>
      </c>
      <c r="E30" s="53" t="inlineStr">
        <is>
          <t>CV-1218 Garage Central</t>
        </is>
      </c>
      <c r="F30" s="56" t="n">
        <v>46366</v>
      </c>
      <c r="G30" s="57" t="inlineStr">
        <is>
          <t>À lancer</t>
        </is>
      </c>
      <c r="H30" s="56" t="n"/>
      <c r="I30" s="58" t="str">
        <f>IF(B30="","",IFERROR(INDEX(art_poste,MATCH($B30,art_ref,0))&amp;"",""))</f>
        <v>MONT</v>
      </c>
      <c r="J30" s="59">
        <f>IF(OR(B30="",G30="Annulé",N(D30)&lt;=0),"",IFERROR(ROUND(INDEX(art_setup,MATCH($B30,art_ref,0))+D30*INDEX(art_cycle,MATCH($B30,art_ref,0))/60,2),""))</f>
        <v>46.97</v>
      </c>
      <c r="K30" s="60">
        <f>IF(J30="","",IFERROR(MAX(1,ROUNDUP(J30/INDEX(po_cap,MATCH(I30,po_code,0)),0)),""))</f>
        <v>7.0</v>
      </c>
      <c r="L30" s="61">
        <f>IF(K30="",0,IF(N(H30)&gt;0,H30,WORKDAY.INTL(MAX(p_start-1,SUMPRODUCT(MAX(($I$6:$I29=$I30)*$M$6:$M29))),1,p_weekend,p_holidays)))</f>
        <v>46336.0</v>
      </c>
      <c r="M30" s="61">
        <f>IF(K30="",0,WORKDAY.INTL(L30,K30-1,p_weekend,p_holidays))</f>
        <v>46345.0</v>
      </c>
      <c r="N30" s="62">
        <f>IF(OR(M30=0,N(F30)=0,G30="Terminé"),"",F30-M30)</f>
        <v>21.0</v>
      </c>
      <c r="O30" s="58" t="str">
        <f>IF(B30="","",IF(G30="Annulé","Annulé",IF(G30="Terminé","Terminé",IF(M30=0,"À compléter",IF(N(F30)=0,"Sans échéance",IF(M30&gt;F30,"En retard",IF(F30-M30&lt;=p_margin,"Juste","À l'heure")))))))</f>
        <v>À l'heure</v>
      </c>
      <c r="P30" s="55" t="n"/>
      <c r="Q30" s="63">
        <f>IF(OR(B30="",N(D30)&lt;=0),"",MIN(1,N(P30)/D30))</f>
        <v>0.0</v>
      </c>
      <c r="R30" s="64">
        <f>IF(OR(J30="",ISNA(MATCH(I30,po_code,0))),"",ROUND(J30*N(INDEX(po_rate,MATCH(I30,po_code,0))),2))</f>
        <v>7045.5</v>
      </c>
      <c r="S30" s="58" t="str">
        <f>IF(AND(A30="",B30=""),"",IF(B30="","Référence manquante",IF(ISNA(MATCH($B30,art_ref,0)),"Référence inconnue",IF(N(D30)&lt;=0,"Quantité invalide",IF(AND(A30&lt;&gt;"",COUNTIF(of_num,A30)&gt;1),"N° OF en double",IF(G30="Annulé","OK",IF(I30="","Poste manquant (gamme)",IF(ISNA(MATCH(I30,po_code,0)),"Poste inconnu",IF(K30="","Capacité du poste nulle",IF(AND(H30&lt;&gt;"",N(H30)=0),"Début imposé invalide",IF(AND(N(H30)&gt;0,WORKDAY.INTL(H30-1,1,p_weekend,p_holidays)&lt;&gt;H30),"Début un jour chômé",IF(AND(N(H30)&gt;0,H30&lt;=SUMPRODUCT(MAX(($I$6:$I29=$I30)*$M$6:$M29))),"Chevauche l'OF précédent",IF(N(F30)=0,"Date de besoin manquante","OK")))))))))))))</f>
        <v>OK</v>
      </c>
      <c r="T30" s="65">
        <f>IF(K30="","",J30/K30)</f>
        <v>6.71</v>
      </c>
      <c r="U30" s="66" t="str">
        <f>IF(OR(O30="En retard",O30="Juste"),COUNTIF($O$6:O30,"En retard")+COUNTIF($O$6:O30,"Juste"),"")</f>
        <v/>
      </c>
    </row>
    <row r="31">
      <c r="A31" s="53" t="inlineStr">
        <is>
          <t>OF-2612-026</t>
        </is>
      </c>
      <c r="B31" s="53" t="inlineStr">
        <is>
          <t>PAT-FIX-10</t>
        </is>
      </c>
      <c r="C31" s="54" t="str">
        <f>IF(B31="","",IFERROR(INDEX(art_des,MATCH($B31,art_ref,0)),"Référence inconnue"))</f>
        <v>Patte de fixation pliée</v>
      </c>
      <c r="D31" s="55" t="n">
        <v>4000</v>
      </c>
      <c r="E31" s="53" t="inlineStr">
        <is>
          <t>CV-1219 Atlas Auto</t>
        </is>
      </c>
      <c r="F31" s="56" t="n">
        <v>46370</v>
      </c>
      <c r="G31" s="57" t="inlineStr">
        <is>
          <t>À lancer</t>
        </is>
      </c>
      <c r="H31" s="56" t="n"/>
      <c r="I31" s="58" t="str">
        <f>IF(B31="","",IFERROR(INDEX(art_poste,MATCH($B31,art_ref,0))&amp;"",""))</f>
        <v>PLIE</v>
      </c>
      <c r="J31" s="59">
        <f>IF(OR(B31="",G31="Annulé",N(D31)&lt;=0),"",IFERROR(ROUND(INDEX(art_setup,MATCH($B31,art_ref,0))+D31*INDEX(art_cycle,MATCH($B31,art_ref,0))/60,2),""))</f>
        <v>40.8</v>
      </c>
      <c r="K31" s="60">
        <f>IF(J31="","",IFERROR(MAX(1,ROUNDUP(J31/INDEX(po_cap,MATCH(I31,po_code,0)),0)),""))</f>
        <v>6.0</v>
      </c>
      <c r="L31" s="61">
        <f>IF(K31="",0,IF(N(H31)&gt;0,H31,WORKDAY.INTL(MAX(p_start-1,SUMPRODUCT(MAX(($I$6:$I30=$I31)*$M$6:$M30))),1,p_weekend,p_holidays)))</f>
        <v>46346.0</v>
      </c>
      <c r="M31" s="61">
        <f>IF(K31="",0,WORKDAY.INTL(L31,K31-1,p_weekend,p_holidays))</f>
        <v>46353.0</v>
      </c>
      <c r="N31" s="62">
        <f>IF(OR(M31=0,N(F31)=0,G31="Terminé"),"",F31-M31)</f>
        <v>17.0</v>
      </c>
      <c r="O31" s="58" t="str">
        <f>IF(B31="","",IF(G31="Annulé","Annulé",IF(G31="Terminé","Terminé",IF(M31=0,"À compléter",IF(N(F31)=0,"Sans échéance",IF(M31&gt;F31,"En retard",IF(F31-M31&lt;=p_margin,"Juste","À l'heure")))))))</f>
        <v>À l'heure</v>
      </c>
      <c r="P31" s="55" t="n"/>
      <c r="Q31" s="63">
        <f>IF(OR(B31="",N(D31)&lt;=0),"",MIN(1,N(P31)/D31))</f>
        <v>0.0</v>
      </c>
      <c r="R31" s="64">
        <f>IF(OR(J31="",ISNA(MATCH(I31,po_code,0))),"",ROUND(J31*N(INDEX(po_rate,MATCH(I31,po_code,0))),2))</f>
        <v>8976.0</v>
      </c>
      <c r="S31" s="58" t="str">
        <f>IF(AND(A31="",B31=""),"",IF(B31="","Référence manquante",IF(ISNA(MATCH($B31,art_ref,0)),"Référence inconnue",IF(N(D31)&lt;=0,"Quantité invalide",IF(AND(A31&lt;&gt;"",COUNTIF(of_num,A31)&gt;1),"N° OF en double",IF(G31="Annulé","OK",IF(I31="","Poste manquant (gamme)",IF(ISNA(MATCH(I31,po_code,0)),"Poste inconnu",IF(K31="","Capacité du poste nulle",IF(AND(H31&lt;&gt;"",N(H31)=0),"Début imposé invalide",IF(AND(N(H31)&gt;0,WORKDAY.INTL(H31-1,1,p_weekend,p_holidays)&lt;&gt;H31),"Début un jour chômé",IF(AND(N(H31)&gt;0,H31&lt;=SUMPRODUCT(MAX(($I$6:$I30=$I31)*$M$6:$M30))),"Chevauche l'OF précédent",IF(N(F31)=0,"Date de besoin manquante","OK")))))))))))))</f>
        <v>OK</v>
      </c>
      <c r="T31" s="65">
        <f>IF(K31="","",J31/K31)</f>
        <v>6.8</v>
      </c>
      <c r="U31" s="66" t="str">
        <f>IF(OR(O31="En retard",O31="Juste"),COUNTIF($O$6:O31,"En retard")+COUNTIF($O$6:O31,"Juste"),"")</f>
        <v/>
      </c>
    </row>
    <row r="32">
      <c r="A32" s="53" t="inlineStr">
        <is>
          <t>OF-2612-027</t>
        </is>
      </c>
      <c r="B32" s="53" t="inlineStr">
        <is>
          <t>CHA-REM-P</t>
        </is>
      </c>
      <c r="C32" s="54" t="str">
        <f>IF(B32="","",IFERROR(INDEX(art_des,MATCH($B32,art_ref,0)),"Référence inconnue"))</f>
        <v>Châssis remorque peint</v>
      </c>
      <c r="D32" s="55" t="n">
        <v>20</v>
      </c>
      <c r="E32" s="53" t="inlineStr">
        <is>
          <t>CV-1212 Remorques du Sud</t>
        </is>
      </c>
      <c r="F32" s="56" t="n">
        <v>46371</v>
      </c>
      <c r="G32" s="57" t="inlineStr">
        <is>
          <t>À lancer</t>
        </is>
      </c>
      <c r="H32" s="56" t="n">
        <v>46351</v>
      </c>
      <c r="I32" s="58" t="str">
        <f>IF(B32="","",IFERROR(INDEX(art_poste,MATCH($B32,art_ref,0))&amp;"",""))</f>
        <v>PEINT</v>
      </c>
      <c r="J32" s="59">
        <f>IF(OR(B32="",G32="Annulé",N(D32)&lt;=0),"",IFERROR(ROUND(INDEX(art_setup,MATCH($B32,art_ref,0))+D32*INDEX(art_cycle,MATCH($B32,art_ref,0))/60,2),""))</f>
        <v>6.5</v>
      </c>
      <c r="K32" s="60">
        <f>IF(J32="","",IFERROR(MAX(1,ROUNDUP(J32/INDEX(po_cap,MATCH(I32,po_code,0)),0)),""))</f>
        <v>1.0</v>
      </c>
      <c r="L32" s="61">
        <f>IF(K32="",0,IF(N(H32)&gt;0,H32,WORKDAY.INTL(MAX(p_start-1,SUMPRODUCT(MAX(($I$6:$I31=$I32)*$M$6:$M31))),1,p_weekend,p_holidays)))</f>
        <v>46351.0</v>
      </c>
      <c r="M32" s="61">
        <f>IF(K32="",0,WORKDAY.INTL(L32,K32-1,p_weekend,p_holidays))</f>
        <v>46351.0</v>
      </c>
      <c r="N32" s="62">
        <f>IF(OR(M32=0,N(F32)=0,G32="Terminé"),"",F32-M32)</f>
        <v>20.0</v>
      </c>
      <c r="O32" s="58" t="str">
        <f>IF(B32="","",IF(G32="Annulé","Annulé",IF(G32="Terminé","Terminé",IF(M32=0,"À compléter",IF(N(F32)=0,"Sans échéance",IF(M32&gt;F32,"En retard",IF(F32-M32&lt;=p_margin,"Juste","À l'heure")))))))</f>
        <v>À l'heure</v>
      </c>
      <c r="P32" s="55" t="n"/>
      <c r="Q32" s="63">
        <f>IF(OR(B32="",N(D32)&lt;=0),"",MIN(1,N(P32)/D32))</f>
        <v>0.0</v>
      </c>
      <c r="R32" s="64">
        <f>IF(OR(J32="",ISNA(MATCH(I32,po_code,0))),"",ROUND(J32*N(INDEX(po_rate,MATCH(I32,po_code,0))),2))</f>
        <v>1300.0</v>
      </c>
      <c r="S32" s="58" t="str">
        <f>IF(AND(A32="",B32=""),"",IF(B32="","Référence manquante",IF(ISNA(MATCH($B32,art_ref,0)),"Référence inconnue",IF(N(D32)&lt;=0,"Quantité invalide",IF(AND(A32&lt;&gt;"",COUNTIF(of_num,A32)&gt;1),"N° OF en double",IF(G32="Annulé","OK",IF(I32="","Poste manquant (gamme)",IF(ISNA(MATCH(I32,po_code,0)),"Poste inconnu",IF(K32="","Capacité du poste nulle",IF(AND(H32&lt;&gt;"",N(H32)=0),"Début imposé invalide",IF(AND(N(H32)&gt;0,WORKDAY.INTL(H32-1,1,p_weekend,p_holidays)&lt;&gt;H32),"Début un jour chômé",IF(AND(N(H32)&gt;0,H32&lt;=SUMPRODUCT(MAX(($I$6:$I31=$I32)*$M$6:$M31))),"Chevauche l'OF précédent",IF(N(F32)=0,"Date de besoin manquante","OK")))))))))))))</f>
        <v>OK</v>
      </c>
      <c r="T32" s="65">
        <f>IF(K32="","",J32/K32)</f>
        <v>6.5</v>
      </c>
      <c r="U32" s="66" t="str">
        <f>IF(OR(O32="En retard",O32="Juste"),COUNTIF($O$6:O32,"En retard")+COUNTIF($O$6:O32,"Juste"),"")</f>
        <v/>
      </c>
    </row>
    <row r="33">
      <c r="A33" s="53" t="inlineStr">
        <is>
          <t>OF-2612-028</t>
        </is>
      </c>
      <c r="B33" s="53" t="inlineStr">
        <is>
          <t>FLA-PL-150</t>
        </is>
      </c>
      <c r="C33" s="54" t="str">
        <f>IF(B33="","",IFERROR(INDEX(art_des,MATCH($B33,art_ref,0)),"Référence inconnue"))</f>
        <v>Flasque usinée 150</v>
      </c>
      <c r="D33" s="55" t="n">
        <v>160</v>
      </c>
      <c r="E33" s="53" t="inlineStr">
        <is>
          <t>CV-1221 Sotrem</t>
        </is>
      </c>
      <c r="F33" s="56" t="n">
        <v>46372</v>
      </c>
      <c r="G33" s="57" t="inlineStr">
        <is>
          <t>À lancer</t>
        </is>
      </c>
      <c r="H33" s="56" t="n">
        <v>46363</v>
      </c>
      <c r="I33" s="58" t="str">
        <f>IF(B33="","",IFERROR(INDEX(art_poste,MATCH($B33,art_ref,0))&amp;"",""))</f>
        <v>FRAIS</v>
      </c>
      <c r="J33" s="59">
        <f>IF(OR(B33="",G33="Annulé",N(D33)&lt;=0),"",IFERROR(ROUND(INDEX(art_setup,MATCH($B33,art_ref,0))+D33*INDEX(art_cycle,MATCH($B33,art_ref,0))/60,2),""))</f>
        <v>22.0</v>
      </c>
      <c r="K33" s="60">
        <f>IF(J33="","",IFERROR(MAX(1,ROUNDUP(J33/INDEX(po_cap,MATCH(I33,po_code,0)),0)),""))</f>
        <v>2.0</v>
      </c>
      <c r="L33" s="61">
        <f>IF(K33="",0,IF(N(H33)&gt;0,H33,WORKDAY.INTL(MAX(p_start-1,SUMPRODUCT(MAX(($I$6:$I32=$I33)*$M$6:$M32))),1,p_weekend,p_holidays)))</f>
        <v>46363.0</v>
      </c>
      <c r="M33" s="61">
        <f>IF(K33="",0,WORKDAY.INTL(L33,K33-1,p_weekend,p_holidays))</f>
        <v>46364.0</v>
      </c>
      <c r="N33" s="62">
        <f>IF(OR(M33=0,N(F33)=0,G33="Terminé"),"",F33-M33)</f>
        <v>8.0</v>
      </c>
      <c r="O33" s="58" t="str">
        <f>IF(B33="","",IF(G33="Annulé","Annulé",IF(G33="Terminé","Terminé",IF(M33=0,"À compléter",IF(N(F33)=0,"Sans échéance",IF(M33&gt;F33,"En retard",IF(F33-M33&lt;=p_margin,"Juste","À l'heure")))))))</f>
        <v>À l'heure</v>
      </c>
      <c r="P33" s="55" t="n"/>
      <c r="Q33" s="63">
        <f>IF(OR(B33="",N(D33)&lt;=0),"",MIN(1,N(P33)/D33))</f>
        <v>0.0</v>
      </c>
      <c r="R33" s="64">
        <f>IF(OR(J33="",ISNA(MATCH(I33,po_code,0))),"",ROUND(J33*N(INDEX(po_rate,MATCH(I33,po_code,0))),2))</f>
        <v>9900.0</v>
      </c>
      <c r="S33" s="58" t="str">
        <f>IF(AND(A33="",B33=""),"",IF(B33="","Référence manquante",IF(ISNA(MATCH($B33,art_ref,0)),"Référence inconnue",IF(N(D33)&lt;=0,"Quantité invalide",IF(AND(A33&lt;&gt;"",COUNTIF(of_num,A33)&gt;1),"N° OF en double",IF(G33="Annulé","OK",IF(I33="","Poste manquant (gamme)",IF(ISNA(MATCH(I33,po_code,0)),"Poste inconnu",IF(K33="","Capacité du poste nulle",IF(AND(H33&lt;&gt;"",N(H33)=0),"Début imposé invalide",IF(AND(N(H33)&gt;0,WORKDAY.INTL(H33-1,1,p_weekend,p_holidays)&lt;&gt;H33),"Début un jour chômé",IF(AND(N(H33)&gt;0,H33&lt;=SUMPRODUCT(MAX(($I$6:$I32=$I33)*$M$6:$M32))),"Chevauche l'OF précédent",IF(N(F33)=0,"Date de besoin manquante","OK")))))))))))))</f>
        <v>OK</v>
      </c>
      <c r="T33" s="65">
        <f>IF(K33="","",J33/K33)</f>
        <v>11.0</v>
      </c>
      <c r="U33" s="66" t="str">
        <f>IF(OR(O33="En retard",O33="Juste"),COUNTIF($O$6:O33,"En retard")+COUNTIF($O$6:O33,"Juste"),"")</f>
        <v/>
      </c>
    </row>
    <row r="34">
      <c r="A34" s="53" t="inlineStr">
        <is>
          <t>OF-2612-029</t>
        </is>
      </c>
      <c r="B34" s="53" t="inlineStr">
        <is>
          <t>ENT-12</t>
        </is>
      </c>
      <c r="C34" s="54" t="str">
        <f>IF(B34="","",IFERROR(INDEX(art_des,MATCH($B34,art_ref,0)),"Référence inconnue"))</f>
        <v>Entretoise Ø12</v>
      </c>
      <c r="D34" s="55" t="n">
        <v>2500</v>
      </c>
      <c r="E34" s="53" t="inlineStr">
        <is>
          <t>Stock</t>
        </is>
      </c>
      <c r="F34" s="56" t="n">
        <v>46374</v>
      </c>
      <c r="G34" s="57" t="inlineStr">
        <is>
          <t>À lancer</t>
        </is>
      </c>
      <c r="H34" s="56" t="n"/>
      <c r="I34" s="58" t="str">
        <f>IF(B34="","",IFERROR(INDEX(art_poste,MATCH($B34,art_ref,0))&amp;"",""))</f>
        <v>TOUR</v>
      </c>
      <c r="J34" s="59">
        <f>IF(OR(B34="",G34="Annulé",N(D34)&lt;=0),"",IFERROR(ROUND(INDEX(art_setup,MATCH($B34,art_ref,0))+D34*INDEX(art_cycle,MATCH($B34,art_ref,0))/60,2),""))</f>
        <v>38.0</v>
      </c>
      <c r="K34" s="60">
        <f>IF(J34="","",IFERROR(MAX(1,ROUNDUP(J34/INDEX(po_cap,MATCH(I34,po_code,0)),0)),""))</f>
        <v>3.0</v>
      </c>
      <c r="L34" s="61">
        <f>IF(K34="",0,IF(N(H34)&gt;0,H34,WORKDAY.INTL(MAX(p_start-1,SUMPRODUCT(MAX(($I$6:$I33=$I34)*$M$6:$M33))),1,p_weekend,p_holidays)))</f>
        <v>46356.0</v>
      </c>
      <c r="M34" s="61">
        <f>IF(K34="",0,WORKDAY.INTL(L34,K34-1,p_weekend,p_holidays))</f>
        <v>46358.0</v>
      </c>
      <c r="N34" s="62">
        <f>IF(OR(M34=0,N(F34)=0,G34="Terminé"),"",F34-M34)</f>
        <v>16.0</v>
      </c>
      <c r="O34" s="58" t="str">
        <f>IF(B34="","",IF(G34="Annulé","Annulé",IF(G34="Terminé","Terminé",IF(M34=0,"À compléter",IF(N(F34)=0,"Sans échéance",IF(M34&gt;F34,"En retard",IF(F34-M34&lt;=p_margin,"Juste","À l'heure")))))))</f>
        <v>À l'heure</v>
      </c>
      <c r="P34" s="55" t="n"/>
      <c r="Q34" s="63">
        <f>IF(OR(B34="",N(D34)&lt;=0),"",MIN(1,N(P34)/D34))</f>
        <v>0.0</v>
      </c>
      <c r="R34" s="64">
        <f>IF(OR(J34="",ISNA(MATCH(I34,po_code,0))),"",ROUND(J34*N(INDEX(po_rate,MATCH(I34,po_code,0))),2))</f>
        <v>12160.0</v>
      </c>
      <c r="S34" s="58" t="str">
        <f>IF(AND(A34="",B34=""),"",IF(B34="","Référence manquante",IF(ISNA(MATCH($B34,art_ref,0)),"Référence inconnue",IF(N(D34)&lt;=0,"Quantité invalide",IF(AND(A34&lt;&gt;"",COUNTIF(of_num,A34)&gt;1),"N° OF en double",IF(G34="Annulé","OK",IF(I34="","Poste manquant (gamme)",IF(ISNA(MATCH(I34,po_code,0)),"Poste inconnu",IF(K34="","Capacité du poste nulle",IF(AND(H34&lt;&gt;"",N(H34)=0),"Début imposé invalide",IF(AND(N(H34)&gt;0,WORKDAY.INTL(H34-1,1,p_weekend,p_holidays)&lt;&gt;H34),"Début un jour chômé",IF(AND(N(H34)&gt;0,H34&lt;=SUMPRODUCT(MAX(($I$6:$I33=$I34)*$M$6:$M33))),"Chevauche l'OF précédent",IF(N(F34)=0,"Date de besoin manquante","OK")))))))))))))</f>
        <v>OK</v>
      </c>
      <c r="T34" s="65">
        <f>IF(K34="","",J34/K34)</f>
        <v>12.6666666666667</v>
      </c>
      <c r="U34" s="66" t="str">
        <f>IF(OR(O34="En retard",O34="Juste"),COUNTIF($O$6:O34,"En retard")+COUNTIF($O$6:O34,"Juste"),"")</f>
        <v/>
      </c>
    </row>
    <row r="35">
      <c r="A35" s="53" t="inlineStr">
        <is>
          <t>OF-2612-030</t>
        </is>
      </c>
      <c r="B35" s="53" t="inlineStr">
        <is>
          <t>GAR-SUP-02</t>
        </is>
      </c>
      <c r="C35" s="54" t="str">
        <f>IF(B35="","",IFERROR(INDEX(art_des,MATCH($B35,art_ref,0)),"Référence inconnue"))</f>
        <v>Support garde-boue plié</v>
      </c>
      <c r="D35" s="55" t="n">
        <v>900</v>
      </c>
      <c r="E35" s="53" t="inlineStr">
        <is>
          <t>CV-1223 Atlas Auto</t>
        </is>
      </c>
      <c r="F35" s="56" t="n">
        <v>46373</v>
      </c>
      <c r="G35" s="57" t="inlineStr">
        <is>
          <t>À lancer</t>
        </is>
      </c>
      <c r="H35" s="56" t="n"/>
      <c r="I35" s="58" t="str">
        <f>IF(B35="","",IFERROR(INDEX(art_poste,MATCH($B35,art_ref,0))&amp;"",""))</f>
        <v>PLIE</v>
      </c>
      <c r="J35" s="59">
        <f>IF(OR(B35="",G35="Annulé",N(D35)&lt;=0),"",IFERROR(ROUND(INDEX(art_setup,MATCH($B35,art_ref,0))+D35*INDEX(art_cycle,MATCH($B35,art_ref,0))/60,2),""))</f>
        <v>23.1</v>
      </c>
      <c r="K35" s="60">
        <f>IF(J35="","",IFERROR(MAX(1,ROUNDUP(J35/INDEX(po_cap,MATCH(I35,po_code,0)),0)),""))</f>
        <v>4.0</v>
      </c>
      <c r="L35" s="61">
        <f>IF(K35="",0,IF(N(H35)&gt;0,H35,WORKDAY.INTL(MAX(p_start-1,SUMPRODUCT(MAX(($I$6:$I34=$I35)*$M$6:$M34))),1,p_weekend,p_holidays)))</f>
        <v>46356.0</v>
      </c>
      <c r="M35" s="61">
        <f>IF(K35="",0,WORKDAY.INTL(L35,K35-1,p_weekend,p_holidays))</f>
        <v>46359.0</v>
      </c>
      <c r="N35" s="62">
        <f>IF(OR(M35=0,N(F35)=0,G35="Terminé"),"",F35-M35)</f>
        <v>14.0</v>
      </c>
      <c r="O35" s="58" t="str">
        <f>IF(B35="","",IF(G35="Annulé","Annulé",IF(G35="Terminé","Terminé",IF(M35=0,"À compléter",IF(N(F35)=0,"Sans échéance",IF(M35&gt;F35,"En retard",IF(F35-M35&lt;=p_margin,"Juste","À l'heure")))))))</f>
        <v>À l'heure</v>
      </c>
      <c r="P35" s="55" t="n"/>
      <c r="Q35" s="63">
        <f>IF(OR(B35="",N(D35)&lt;=0),"",MIN(1,N(P35)/D35))</f>
        <v>0.0</v>
      </c>
      <c r="R35" s="64">
        <f>IF(OR(J35="",ISNA(MATCH(I35,po_code,0))),"",ROUND(J35*N(INDEX(po_rate,MATCH(I35,po_code,0))),2))</f>
        <v>5082.0</v>
      </c>
      <c r="S35" s="58" t="str">
        <f>IF(AND(A35="",B35=""),"",IF(B35="","Référence manquante",IF(ISNA(MATCH($B35,art_ref,0)),"Référence inconnue",IF(N(D35)&lt;=0,"Quantité invalide",IF(AND(A35&lt;&gt;"",COUNTIF(of_num,A35)&gt;1),"N° OF en double",IF(G35="Annulé","OK",IF(I35="","Poste manquant (gamme)",IF(ISNA(MATCH(I35,po_code,0)),"Poste inconnu",IF(K35="","Capacité du poste nulle",IF(AND(H35&lt;&gt;"",N(H35)=0),"Début imposé invalide",IF(AND(N(H35)&gt;0,WORKDAY.INTL(H35-1,1,p_weekend,p_holidays)&lt;&gt;H35),"Début un jour chômé",IF(AND(N(H35)&gt;0,H35&lt;=SUMPRODUCT(MAX(($I$6:$I34=$I35)*$M$6:$M34))),"Chevauche l'OF précédent",IF(N(F35)=0,"Date de besoin manquante","OK")))))))))))))</f>
        <v>OK</v>
      </c>
      <c r="T35" s="65">
        <f>IF(K35="","",J35/K35)</f>
        <v>5.775</v>
      </c>
      <c r="U35" s="66" t="str">
        <f>IF(OR(O35="En retard",O35="Juste"),COUNTIF($O$6:O35,"En retard")+COUNTIF($O$6:O35,"Juste"),"")</f>
        <v/>
      </c>
    </row>
    <row r="36">
      <c r="A36" s="53" t="inlineStr">
        <is>
          <t>OF-2612-031</t>
        </is>
      </c>
      <c r="B36" s="53" t="inlineStr">
        <is>
          <t>BRA-SUS-02</t>
        </is>
      </c>
      <c r="C36" s="54" t="str">
        <f>IF(B36="","",IFERROR(INDEX(art_des,MATCH($B36,art_ref,0)),"Référence inconnue"))</f>
        <v>Bras de suspension soudé</v>
      </c>
      <c r="D36" s="55" t="n">
        <v>180</v>
      </c>
      <c r="E36" s="53" t="inlineStr">
        <is>
          <t>CV-1225 Remorques du Sud</t>
        </is>
      </c>
      <c r="F36" s="56" t="n">
        <v>46377</v>
      </c>
      <c r="G36" s="57" t="inlineStr">
        <is>
          <t>À lancer</t>
        </is>
      </c>
      <c r="H36" s="56" t="n"/>
      <c r="I36" s="58" t="str">
        <f>IF(B36="","",IFERROR(INDEX(art_poste,MATCH($B36,art_ref,0))&amp;"",""))</f>
        <v>SOUD</v>
      </c>
      <c r="J36" s="59">
        <f>IF(OR(B36="",G36="Annulé",N(D36)&lt;=0),"",IFERROR(ROUND(INDEX(art_setup,MATCH($B36,art_ref,0))+D36*INDEX(art_cycle,MATCH($B36,art_ref,0))/60,2),""))</f>
        <v>20.0</v>
      </c>
      <c r="K36" s="60">
        <f>IF(J36="","",IFERROR(MAX(1,ROUNDUP(J36/INDEX(po_cap,MATCH(I36,po_code,0)),0)),""))</f>
        <v>3.0</v>
      </c>
      <c r="L36" s="61">
        <f>IF(K36="",0,IF(N(H36)&gt;0,H36,WORKDAY.INTL(MAX(p_start-1,SUMPRODUCT(MAX(($I$6:$I35=$I36)*$M$6:$M35))),1,p_weekend,p_holidays)))</f>
        <v>46351.0</v>
      </c>
      <c r="M36" s="61">
        <f>IF(K36="",0,WORKDAY.INTL(L36,K36-1,p_weekend,p_holidays))</f>
        <v>46353.0</v>
      </c>
      <c r="N36" s="62">
        <f>IF(OR(M36=0,N(F36)=0,G36="Terminé"),"",F36-M36)</f>
        <v>24.0</v>
      </c>
      <c r="O36" s="58" t="str">
        <f>IF(B36="","",IF(G36="Annulé","Annulé",IF(G36="Terminé","Terminé",IF(M36=0,"À compléter",IF(N(F36)=0,"Sans échéance",IF(M36&gt;F36,"En retard",IF(F36-M36&lt;=p_margin,"Juste","À l'heure")))))))</f>
        <v>À l'heure</v>
      </c>
      <c r="P36" s="55" t="n"/>
      <c r="Q36" s="63">
        <f>IF(OR(B36="",N(D36)&lt;=0),"",MIN(1,N(P36)/D36))</f>
        <v>0.0</v>
      </c>
      <c r="R36" s="64">
        <f>IF(OR(J36="",ISNA(MATCH(I36,po_code,0))),"",ROUND(J36*N(INDEX(po_rate,MATCH(I36,po_code,0))),2))</f>
        <v>5200.0</v>
      </c>
      <c r="S36" s="58" t="str">
        <f>IF(AND(A36="",B36=""),"",IF(B36="","Référence manquante",IF(ISNA(MATCH($B36,art_ref,0)),"Référence inconnue",IF(N(D36)&lt;=0,"Quantité invalide",IF(AND(A36&lt;&gt;"",COUNTIF(of_num,A36)&gt;1),"N° OF en double",IF(G36="Annulé","OK",IF(I36="","Poste manquant (gamme)",IF(ISNA(MATCH(I36,po_code,0)),"Poste inconnu",IF(K36="","Capacité du poste nulle",IF(AND(H36&lt;&gt;"",N(H36)=0),"Début imposé invalide",IF(AND(N(H36)&gt;0,WORKDAY.INTL(H36-1,1,p_weekend,p_holidays)&lt;&gt;H36),"Début un jour chômé",IF(AND(N(H36)&gt;0,H36&lt;=SUMPRODUCT(MAX(($I$6:$I35=$I36)*$M$6:$M35))),"Chevauche l'OF précédent",IF(N(F36)=0,"Date de besoin manquante","OK")))))))))))))</f>
        <v>OK</v>
      </c>
      <c r="T36" s="65">
        <f>IF(K36="","",J36/K36)</f>
        <v>6.66666666666667</v>
      </c>
      <c r="U36" s="66" t="str">
        <f>IF(OR(O36="En retard",O36="Juste"),COUNTIF($O$6:O36,"En retard")+COUNTIF($O$6:O36,"Juste"),"")</f>
        <v/>
      </c>
    </row>
    <row r="37">
      <c r="A37" s="53" t="inlineStr">
        <is>
          <t>OF-2612-032</t>
        </is>
      </c>
      <c r="B37" s="53" t="inlineStr">
        <is>
          <t>CAR-BOI-04</t>
        </is>
      </c>
      <c r="C37" s="54" t="str">
        <f>IF(B37="","",IFERROR(INDEX(art_des,MATCH($B37,art_ref,0)),"Référence inconnue"))</f>
        <v>Carter de boîte usiné</v>
      </c>
      <c r="D37" s="55" t="n">
        <v>70</v>
      </c>
      <c r="E37" s="53" t="inlineStr">
        <is>
          <t>CV-1226 Méca Précision</t>
        </is>
      </c>
      <c r="F37" s="56" t="n">
        <v>46378</v>
      </c>
      <c r="G37" s="57" t="inlineStr">
        <is>
          <t>Annulé</t>
        </is>
      </c>
      <c r="H37" s="56" t="n"/>
      <c r="I37" s="58" t="str">
        <f>IF(B37="","",IFERROR(INDEX(art_poste,MATCH($B37,art_ref,0))&amp;"",""))</f>
        <v>FRAIS</v>
      </c>
      <c r="J37" s="59" t="str">
        <f>IF(OR(B37="",G37="Annulé",N(D37)&lt;=0),"",IFERROR(ROUND(INDEX(art_setup,MATCH($B37,art_ref,0))+D37*INDEX(art_cycle,MATCH($B37,art_ref,0))/60,2),""))</f>
        <v/>
      </c>
      <c r="K37" s="60" t="str">
        <f>IF(J37="","",IFERROR(MAX(1,ROUNDUP(J37/INDEX(po_cap,MATCH(I37,po_code,0)),0)),""))</f>
        <v/>
      </c>
      <c r="L37" s="61">
        <f>IF(K37="",0,IF(N(H37)&gt;0,H37,WORKDAY.INTL(MAX(p_start-1,SUMPRODUCT(MAX(($I$6:$I36=$I37)*$M$6:$M36))),1,p_weekend,p_holidays)))</f>
        <v>0.0</v>
      </c>
      <c r="M37" s="61">
        <f>IF(K37="",0,WORKDAY.INTL(L37,K37-1,p_weekend,p_holidays))</f>
        <v>0.0</v>
      </c>
      <c r="N37" s="62" t="str">
        <f>IF(OR(M37=0,N(F37)=0,G37="Terminé"),"",F37-M37)</f>
        <v/>
      </c>
      <c r="O37" s="58" t="str">
        <f>IF(B37="","",IF(G37="Annulé","Annulé",IF(G37="Terminé","Terminé",IF(M37=0,"À compléter",IF(N(F37)=0,"Sans échéance",IF(M37&gt;F37,"En retard",IF(F37-M37&lt;=p_margin,"Juste","À l'heure")))))))</f>
        <v>Annulé</v>
      </c>
      <c r="P37" s="55" t="n"/>
      <c r="Q37" s="63">
        <f>IF(OR(B37="",N(D37)&lt;=0),"",MIN(1,N(P37)/D37))</f>
        <v>0.0</v>
      </c>
      <c r="R37" s="64" t="str">
        <f>IF(OR(J37="",ISNA(MATCH(I37,po_code,0))),"",ROUND(J37*N(INDEX(po_rate,MATCH(I37,po_code,0))),2))</f>
        <v/>
      </c>
      <c r="S37" s="58" t="str">
        <f>IF(AND(A37="",B37=""),"",IF(B37="","Référence manquante",IF(ISNA(MATCH($B37,art_ref,0)),"Référence inconnue",IF(N(D37)&lt;=0,"Quantité invalide",IF(AND(A37&lt;&gt;"",COUNTIF(of_num,A37)&gt;1),"N° OF en double",IF(G37="Annulé","OK",IF(I37="","Poste manquant (gamme)",IF(ISNA(MATCH(I37,po_code,0)),"Poste inconnu",IF(K37="","Capacité du poste nulle",IF(AND(H37&lt;&gt;"",N(H37)=0),"Début imposé invalide",IF(AND(N(H37)&gt;0,WORKDAY.INTL(H37-1,1,p_weekend,p_holidays)&lt;&gt;H37),"Début un jour chômé",IF(AND(N(H37)&gt;0,H37&lt;=SUMPRODUCT(MAX(($I$6:$I36=$I37)*$M$6:$M36))),"Chevauche l'OF précédent",IF(N(F37)=0,"Date de besoin manquante","OK")))))))))))))</f>
        <v>OK</v>
      </c>
      <c r="T37" s="65" t="str">
        <f>IF(K37="","",J37/K37)</f>
        <v/>
      </c>
      <c r="U37" s="66" t="str">
        <f>IF(OR(O37="En retard",O37="Juste"),COUNTIF($O$6:O37,"En retard")+COUNTIF($O$6:O37,"Juste"),"")</f>
        <v/>
      </c>
    </row>
    <row r="38">
      <c r="A38" s="53" t="inlineStr">
        <is>
          <t>OF-2612-033</t>
        </is>
      </c>
      <c r="B38" s="53" t="inlineStr">
        <is>
          <t>TUB-CAD-40</t>
        </is>
      </c>
      <c r="C38" s="54" t="str">
        <f>IF(B38="","",IFERROR(INDEX(art_des,MATCH($B38,art_ref,0)),"Référence inconnue"))</f>
        <v>Tube cadre 40x40 coupé</v>
      </c>
      <c r="D38" s="55" t="n">
        <v>1200</v>
      </c>
      <c r="E38" s="53" t="inlineStr">
        <is>
          <t>Stock</t>
        </is>
      </c>
      <c r="F38" s="56" t="n">
        <v>46379</v>
      </c>
      <c r="G38" s="57" t="inlineStr">
        <is>
          <t>À lancer</t>
        </is>
      </c>
      <c r="H38" s="56" t="n"/>
      <c r="I38" s="58" t="str">
        <f>IF(B38="","",IFERROR(INDEX(art_poste,MATCH($B38,art_ref,0))&amp;"",""))</f>
        <v>SCIE</v>
      </c>
      <c r="J38" s="59">
        <f>IF(OR(B38="",G38="Annulé",N(D38)&lt;=0),"",IFERROR(ROUND(INDEX(art_setup,MATCH($B38,art_ref,0))+D38*INDEX(art_cycle,MATCH($B38,art_ref,0))/60,2),""))</f>
        <v>16.3</v>
      </c>
      <c r="K38" s="60">
        <f>IF(J38="","",IFERROR(MAX(1,ROUNDUP(J38/INDEX(po_cap,MATCH(I38,po_code,0)),0)),""))</f>
        <v>3.0</v>
      </c>
      <c r="L38" s="61">
        <f>IF(K38="",0,IF(N(H38)&gt;0,H38,WORKDAY.INTL(MAX(p_start-1,SUMPRODUCT(MAX(($I$6:$I37=$I38)*$M$6:$M37))),1,p_weekend,p_holidays)))</f>
        <v>46336.0</v>
      </c>
      <c r="M38" s="61">
        <f>IF(K38="",0,WORKDAY.INTL(L38,K38-1,p_weekend,p_holidays))</f>
        <v>46338.0</v>
      </c>
      <c r="N38" s="62">
        <f>IF(OR(M38=0,N(F38)=0,G38="Terminé"),"",F38-M38)</f>
        <v>41.0</v>
      </c>
      <c r="O38" s="58" t="str">
        <f>IF(B38="","",IF(G38="Annulé","Annulé",IF(G38="Terminé","Terminé",IF(M38=0,"À compléter",IF(N(F38)=0,"Sans échéance",IF(M38&gt;F38,"En retard",IF(F38-M38&lt;=p_margin,"Juste","À l'heure")))))))</f>
        <v>À l'heure</v>
      </c>
      <c r="P38" s="55" t="n"/>
      <c r="Q38" s="63">
        <f>IF(OR(B38="",N(D38)&lt;=0),"",MIN(1,N(P38)/D38))</f>
        <v>0.0</v>
      </c>
      <c r="R38" s="64">
        <f>IF(OR(J38="",ISNA(MATCH(I38,po_code,0))),"",ROUND(J38*N(INDEX(po_rate,MATCH(I38,po_code,0))),2))</f>
        <v>2934.0</v>
      </c>
      <c r="S38" s="58" t="str">
        <f>IF(AND(A38="",B38=""),"",IF(B38="","Référence manquante",IF(ISNA(MATCH($B38,art_ref,0)),"Référence inconnue",IF(N(D38)&lt;=0,"Quantité invalide",IF(AND(A38&lt;&gt;"",COUNTIF(of_num,A38)&gt;1),"N° OF en double",IF(G38="Annulé","OK",IF(I38="","Poste manquant (gamme)",IF(ISNA(MATCH(I38,po_code,0)),"Poste inconnu",IF(K38="","Capacité du poste nulle",IF(AND(H38&lt;&gt;"",N(H38)=0),"Début imposé invalide",IF(AND(N(H38)&gt;0,WORKDAY.INTL(H38-1,1,p_weekend,p_holidays)&lt;&gt;H38),"Début un jour chômé",IF(AND(N(H38)&gt;0,H38&lt;=SUMPRODUCT(MAX(($I$6:$I37=$I38)*$M$6:$M37))),"Chevauche l'OF précédent",IF(N(F38)=0,"Date de besoin manquante","OK")))))))))))))</f>
        <v>OK</v>
      </c>
      <c r="T38" s="65">
        <f>IF(K38="","",J38/K38)</f>
        <v>5.43333333333333</v>
      </c>
      <c r="U38" s="66" t="str">
        <f>IF(OR(O38="En retard",O38="Juste"),COUNTIF($O$6:O38,"En retard")+COUNTIF($O$6:O38,"Juste"),"")</f>
        <v/>
      </c>
    </row>
    <row r="39">
      <c r="A39" s="53" t="inlineStr">
        <is>
          <t>OF-2612-034</t>
        </is>
      </c>
      <c r="B39" s="53" t="inlineStr">
        <is>
          <t>SUP-MOT-01</t>
        </is>
      </c>
      <c r="C39" s="54" t="str">
        <f>IF(B39="","",IFERROR(INDEX(art_des,MATCH($B39,art_ref,0)),"Référence inconnue"))</f>
        <v>Support moteur acier</v>
      </c>
      <c r="D39" s="55" t="n">
        <v>500</v>
      </c>
      <c r="E39" s="53" t="inlineStr">
        <is>
          <t>CV-1228 Atlas Auto</t>
        </is>
      </c>
      <c r="F39" s="56" t="n">
        <v>46384</v>
      </c>
      <c r="G39" s="57" t="inlineStr">
        <is>
          <t>À lancer</t>
        </is>
      </c>
      <c r="H39" s="56" t="n"/>
      <c r="I39" s="58" t="str">
        <f>IF(B39="","",IFERROR(INDEX(art_poste,MATCH($B39,art_ref,0))&amp;"",""))</f>
        <v>PLIE</v>
      </c>
      <c r="J39" s="59">
        <f>IF(OR(B39="",G39="Annulé",N(D39)&lt;=0),"",IFERROR(ROUND(INDEX(art_setup,MATCH($B39,art_ref,0))+D39*INDEX(art_cycle,MATCH($B39,art_ref,0))/60,2),""))</f>
        <v>11.0</v>
      </c>
      <c r="K39" s="60">
        <f>IF(J39="","",IFERROR(MAX(1,ROUNDUP(J39/INDEX(po_cap,MATCH(I39,po_code,0)),0)),""))</f>
        <v>2.0</v>
      </c>
      <c r="L39" s="61">
        <f>IF(K39="",0,IF(N(H39)&gt;0,H39,WORKDAY.INTL(MAX(p_start-1,SUMPRODUCT(MAX(($I$6:$I38=$I39)*$M$6:$M38))),1,p_weekend,p_holidays)))</f>
        <v>46360.0</v>
      </c>
      <c r="M39" s="61">
        <f>IF(K39="",0,WORKDAY.INTL(L39,K39-1,p_weekend,p_holidays))</f>
        <v>46363.0</v>
      </c>
      <c r="N39" s="62">
        <f>IF(OR(M39=0,N(F39)=0,G39="Terminé"),"",F39-M39)</f>
        <v>21.0</v>
      </c>
      <c r="O39" s="58" t="str">
        <f>IF(B39="","",IF(G39="Annulé","Annulé",IF(G39="Terminé","Terminé",IF(M39=0,"À compléter",IF(N(F39)=0,"Sans échéance",IF(M39&gt;F39,"En retard",IF(F39-M39&lt;=p_margin,"Juste","À l'heure")))))))</f>
        <v>À l'heure</v>
      </c>
      <c r="P39" s="55" t="n"/>
      <c r="Q39" s="63">
        <f>IF(OR(B39="",N(D39)&lt;=0),"",MIN(1,N(P39)/D39))</f>
        <v>0.0</v>
      </c>
      <c r="R39" s="64">
        <f>IF(OR(J39="",ISNA(MATCH(I39,po_code,0))),"",ROUND(J39*N(INDEX(po_rate,MATCH(I39,po_code,0))),2))</f>
        <v>2420.0</v>
      </c>
      <c r="S39" s="58" t="str">
        <f>IF(AND(A39="",B39=""),"",IF(B39="","Référence manquante",IF(ISNA(MATCH($B39,art_ref,0)),"Référence inconnue",IF(N(D39)&lt;=0,"Quantité invalide",IF(AND(A39&lt;&gt;"",COUNTIF(of_num,A39)&gt;1),"N° OF en double",IF(G39="Annulé","OK",IF(I39="","Poste manquant (gamme)",IF(ISNA(MATCH(I39,po_code,0)),"Poste inconnu",IF(K39="","Capacité du poste nulle",IF(AND(H39&lt;&gt;"",N(H39)=0),"Début imposé invalide",IF(AND(N(H39)&gt;0,WORKDAY.INTL(H39-1,1,p_weekend,p_holidays)&lt;&gt;H39),"Début un jour chômé",IF(AND(N(H39)&gt;0,H39&lt;=SUMPRODUCT(MAX(($I$6:$I38=$I39)*$M$6:$M38))),"Chevauche l'OF précédent",IF(N(F39)=0,"Date de besoin manquante","OK")))))))))))))</f>
        <v>OK</v>
      </c>
      <c r="T39" s="65">
        <f>IF(K39="","",J39/K39)</f>
        <v>5.5</v>
      </c>
      <c r="U39" s="66" t="str">
        <f>IF(OR(O39="En retard",O39="Juste"),COUNTIF($O$6:O39,"En retard")+COUNTIF($O$6:O39,"Juste"),"")</f>
        <v/>
      </c>
    </row>
    <row r="40">
      <c r="A40" s="53" t="inlineStr">
        <is>
          <t>OF-2612-035</t>
        </is>
      </c>
      <c r="B40" s="53" t="inlineStr">
        <is>
          <t>PIG-T15</t>
        </is>
      </c>
      <c r="C40" s="54" t="str">
        <f>IF(B40="","",IFERROR(INDEX(art_des,MATCH($B40,art_ref,0)),"Référence inconnue"))</f>
        <v>Pignon T15</v>
      </c>
      <c r="D40" s="55" t="n">
        <v>380</v>
      </c>
      <c r="E40" s="53" t="inlineStr">
        <is>
          <t>CV-1230 Transmissions Nord</t>
        </is>
      </c>
      <c r="F40" s="56" t="n">
        <v>46385</v>
      </c>
      <c r="G40" s="57" t="inlineStr">
        <is>
          <t>À lancer</t>
        </is>
      </c>
      <c r="H40" s="56" t="n"/>
      <c r="I40" s="58" t="str">
        <f>IF(B40="","",IFERROR(INDEX(art_poste,MATCH($B40,art_ref,0))&amp;"",""))</f>
        <v>FRAIS</v>
      </c>
      <c r="J40" s="59">
        <f>IF(OR(B40="",G40="Annulé",N(D40)&lt;=0),"",IFERROR(ROUND(INDEX(art_setup,MATCH($B40,art_ref,0))+D40*INDEX(art_cycle,MATCH($B40,art_ref,0))/60,2),""))</f>
        <v>59.5</v>
      </c>
      <c r="K40" s="60">
        <f>IF(J40="","",IFERROR(MAX(1,ROUNDUP(J40/INDEX(po_cap,MATCH(I40,po_code,0)),0)),""))</f>
        <v>5.0</v>
      </c>
      <c r="L40" s="61">
        <f>IF(K40="",0,IF(N(H40)&gt;0,H40,WORKDAY.INTL(MAX(p_start-1,SUMPRODUCT(MAX(($I$6:$I39=$I40)*$M$6:$M39))),1,p_weekend,p_holidays)))</f>
        <v>46365.0</v>
      </c>
      <c r="M40" s="61">
        <f>IF(K40="",0,WORKDAY.INTL(L40,K40-1,p_weekend,p_holidays))</f>
        <v>46371.0</v>
      </c>
      <c r="N40" s="62">
        <f>IF(OR(M40=0,N(F40)=0,G40="Terminé"),"",F40-M40)</f>
        <v>14.0</v>
      </c>
      <c r="O40" s="58" t="str">
        <f>IF(B40="","",IF(G40="Annulé","Annulé",IF(G40="Terminé","Terminé",IF(M40=0,"À compléter",IF(N(F40)=0,"Sans échéance",IF(M40&gt;F40,"En retard",IF(F40-M40&lt;=p_margin,"Juste","À l'heure")))))))</f>
        <v>À l'heure</v>
      </c>
      <c r="P40" s="55" t="n"/>
      <c r="Q40" s="63">
        <f>IF(OR(B40="",N(D40)&lt;=0),"",MIN(1,N(P40)/D40))</f>
        <v>0.0</v>
      </c>
      <c r="R40" s="64">
        <f>IF(OR(J40="",ISNA(MATCH(I40,po_code,0))),"",ROUND(J40*N(INDEX(po_rate,MATCH(I40,po_code,0))),2))</f>
        <v>26775.0</v>
      </c>
      <c r="S40" s="58" t="str">
        <f>IF(AND(A40="",B40=""),"",IF(B40="","Référence manquante",IF(ISNA(MATCH($B40,art_ref,0)),"Référence inconnue",IF(N(D40)&lt;=0,"Quantité invalide",IF(AND(A40&lt;&gt;"",COUNTIF(of_num,A40)&gt;1),"N° OF en double",IF(G40="Annulé","OK",IF(I40="","Poste manquant (gamme)",IF(ISNA(MATCH(I40,po_code,0)),"Poste inconnu",IF(K40="","Capacité du poste nulle",IF(AND(H40&lt;&gt;"",N(H40)=0),"Début imposé invalide",IF(AND(N(H40)&gt;0,WORKDAY.INTL(H40-1,1,p_weekend,p_holidays)&lt;&gt;H40),"Début un jour chômé",IF(AND(N(H40)&gt;0,H40&lt;=SUMPRODUCT(MAX(($I$6:$I39=$I40)*$M$6:$M39))),"Chevauche l'OF précédent",IF(N(F40)=0,"Date de besoin manquante","OK")))))))))))))</f>
        <v>OK</v>
      </c>
      <c r="T40" s="65">
        <f>IF(K40="","",J40/K40)</f>
        <v>11.9</v>
      </c>
      <c r="U40" s="66" t="str">
        <f>IF(OR(O40="En retard",O40="Juste"),COUNTIF($O$6:O40,"En retard")+COUNTIF($O$6:O40,"Juste"),"")</f>
        <v/>
      </c>
    </row>
    <row r="41">
      <c r="A41" s="53" t="inlineStr">
        <is>
          <t>OF-2612-036</t>
        </is>
      </c>
      <c r="B41" s="53" t="inlineStr">
        <is>
          <t>KIT-ATT-01</t>
        </is>
      </c>
      <c r="C41" s="54" t="str">
        <f>IF(B41="","",IFERROR(INDEX(art_des,MATCH($B41,art_ref,0)),"Référence inconnue"))</f>
        <v>Kit attelage monté</v>
      </c>
      <c r="D41" s="55" t="n">
        <v>120</v>
      </c>
      <c r="E41" s="53" t="inlineStr">
        <is>
          <t>CV-1231 Garage Central</t>
        </is>
      </c>
      <c r="F41" s="56" t="n">
        <v>46386</v>
      </c>
      <c r="G41" s="57" t="inlineStr">
        <is>
          <t>À lancer</t>
        </is>
      </c>
      <c r="H41" s="56" t="n"/>
      <c r="I41" s="58" t="str">
        <f>IF(B41="","",IFERROR(INDEX(art_poste,MATCH($B41,art_ref,0))&amp;"",""))</f>
        <v>MONT</v>
      </c>
      <c r="J41" s="59">
        <f>IF(OR(B41="",G41="Annulé",N(D41)&lt;=0),"",IFERROR(ROUND(INDEX(art_setup,MATCH($B41,art_ref,0))+D41*INDEX(art_cycle,MATCH($B41,art_ref,0))/60,2),""))</f>
        <v>28.3</v>
      </c>
      <c r="K41" s="60">
        <f>IF(J41="","",IFERROR(MAX(1,ROUNDUP(J41/INDEX(po_cap,MATCH(I41,po_code,0)),0)),""))</f>
        <v>4.0</v>
      </c>
      <c r="L41" s="61">
        <f>IF(K41="",0,IF(N(H41)&gt;0,H41,WORKDAY.INTL(MAX(p_start-1,SUMPRODUCT(MAX(($I$6:$I40=$I41)*$M$6:$M40))),1,p_weekend,p_holidays)))</f>
        <v>46346.0</v>
      </c>
      <c r="M41" s="61">
        <f>IF(K41="",0,WORKDAY.INTL(L41,K41-1,p_weekend,p_holidays))</f>
        <v>46351.0</v>
      </c>
      <c r="N41" s="62">
        <f>IF(OR(M41=0,N(F41)=0,G41="Terminé"),"",F41-M41)</f>
        <v>35.0</v>
      </c>
      <c r="O41" s="58" t="str">
        <f>IF(B41="","",IF(G41="Annulé","Annulé",IF(G41="Terminé","Terminé",IF(M41=0,"À compléter",IF(N(F41)=0,"Sans échéance",IF(M41&gt;F41,"En retard",IF(F41-M41&lt;=p_margin,"Juste","À l'heure")))))))</f>
        <v>À l'heure</v>
      </c>
      <c r="P41" s="55" t="n"/>
      <c r="Q41" s="63">
        <f>IF(OR(B41="",N(D41)&lt;=0),"",MIN(1,N(P41)/D41))</f>
        <v>0.0</v>
      </c>
      <c r="R41" s="64">
        <f>IF(OR(J41="",ISNA(MATCH(I41,po_code,0))),"",ROUND(J41*N(INDEX(po_rate,MATCH(I41,po_code,0))),2))</f>
        <v>4245.0</v>
      </c>
      <c r="S41" s="58" t="str">
        <f>IF(AND(A41="",B41=""),"",IF(B41="","Référence manquante",IF(ISNA(MATCH($B41,art_ref,0)),"Référence inconnue",IF(N(D41)&lt;=0,"Quantité invalide",IF(AND(A41&lt;&gt;"",COUNTIF(of_num,A41)&gt;1),"N° OF en double",IF(G41="Annulé","OK",IF(I41="","Poste manquant (gamme)",IF(ISNA(MATCH(I41,po_code,0)),"Poste inconnu",IF(K41="","Capacité du poste nulle",IF(AND(H41&lt;&gt;"",N(H41)=0),"Début imposé invalide",IF(AND(N(H41)&gt;0,WORKDAY.INTL(H41-1,1,p_weekend,p_holidays)&lt;&gt;H41),"Début un jour chômé",IF(AND(N(H41)&gt;0,H41&lt;=SUMPRODUCT(MAX(($I$6:$I40=$I41)*$M$6:$M40))),"Chevauche l'OF précédent",IF(N(F41)=0,"Date de besoin manquante","OK")))))))))))))</f>
        <v>OK</v>
      </c>
      <c r="T41" s="65">
        <f>IF(K41="","",J41/K41)</f>
        <v>7.075</v>
      </c>
      <c r="U41" s="66" t="str">
        <f>IF(OR(O41="En retard",O41="Juste"),COUNTIF($O$6:O41,"En retard")+COUNTIF($O$6:O41,"Juste"),"")</f>
        <v/>
      </c>
    </row>
    <row r="42">
      <c r="A42" s="53" t="n"/>
      <c r="B42" s="53" t="n"/>
      <c r="C42" s="54" t="str">
        <f>IF(B42="","",IFERROR(INDEX(art_des,MATCH($B42,art_ref,0)),"Référence inconnue"))</f>
        <v/>
      </c>
      <c r="D42" s="55" t="n"/>
      <c r="E42" s="53" t="n"/>
      <c r="F42" s="56" t="n"/>
      <c r="G42" s="57" t="n"/>
      <c r="H42" s="56" t="n"/>
      <c r="I42" s="58" t="str">
        <f>IF(B42="","",IFERROR(INDEX(art_poste,MATCH($B42,art_ref,0))&amp;"",""))</f>
        <v/>
      </c>
      <c r="J42" s="59" t="str">
        <f>IF(OR(B42="",G42="Annulé",N(D42)&lt;=0),"",IFERROR(ROUND(INDEX(art_setup,MATCH($B42,art_ref,0))+D42*INDEX(art_cycle,MATCH($B42,art_ref,0))/60,2),""))</f>
        <v/>
      </c>
      <c r="K42" s="60" t="str">
        <f>IF(J42="","",IFERROR(MAX(1,ROUNDUP(J42/INDEX(po_cap,MATCH(I42,po_code,0)),0)),""))</f>
        <v/>
      </c>
      <c r="L42" s="61">
        <f>IF(K42="",0,IF(N(H42)&gt;0,H42,WORKDAY.INTL(MAX(p_start-1,SUMPRODUCT(MAX(($I$6:$I41=$I42)*$M$6:$M41))),1,p_weekend,p_holidays)))</f>
        <v>0.0</v>
      </c>
      <c r="M42" s="61">
        <f>IF(K42="",0,WORKDAY.INTL(L42,K42-1,p_weekend,p_holidays))</f>
        <v>0.0</v>
      </c>
      <c r="N42" s="62" t="str">
        <f>IF(OR(M42=0,N(F42)=0,G42="Terminé"),"",F42-M42)</f>
        <v/>
      </c>
      <c r="O42" s="58" t="str">
        <f>IF(B42="","",IF(G42="Annulé","Annulé",IF(G42="Terminé","Terminé",IF(M42=0,"À compléter",IF(N(F42)=0,"Sans échéance",IF(M42&gt;F42,"En retard",IF(F42-M42&lt;=p_margin,"Juste","À l'heure")))))))</f>
        <v/>
      </c>
      <c r="P42" s="55" t="n"/>
      <c r="Q42" s="63" t="str">
        <f>IF(OR(B42="",N(D42)&lt;=0),"",MIN(1,N(P42)/D42))</f>
        <v/>
      </c>
      <c r="R42" s="64" t="str">
        <f>IF(OR(J42="",ISNA(MATCH(I42,po_code,0))),"",ROUND(J42*N(INDEX(po_rate,MATCH(I42,po_code,0))),2))</f>
        <v/>
      </c>
      <c r="S42" s="58" t="str">
        <f>IF(AND(A42="",B42=""),"",IF(B42="","Référence manquante",IF(ISNA(MATCH($B42,art_ref,0)),"Référence inconnue",IF(N(D42)&lt;=0,"Quantité invalide",IF(AND(A42&lt;&gt;"",COUNTIF(of_num,A42)&gt;1),"N° OF en double",IF(G42="Annulé","OK",IF(I42="","Poste manquant (gamme)",IF(ISNA(MATCH(I42,po_code,0)),"Poste inconnu",IF(K42="","Capacité du poste nulle",IF(AND(H42&lt;&gt;"",N(H42)=0),"Début imposé invalide",IF(AND(N(H42)&gt;0,WORKDAY.INTL(H42-1,1,p_weekend,p_holidays)&lt;&gt;H42),"Début un jour chômé",IF(AND(N(H42)&gt;0,H42&lt;=SUMPRODUCT(MAX(($I$6:$I41=$I42)*$M$6:$M41))),"Chevauche l'OF précédent",IF(N(F42)=0,"Date de besoin manquante","OK")))))))))))))</f>
        <v/>
      </c>
      <c r="T42" s="65" t="str">
        <f>IF(K42="","",J42/K42)</f>
        <v/>
      </c>
      <c r="U42" s="66" t="str">
        <f>IF(OR(O42="En retard",O42="Juste"),COUNTIF($O$6:O42,"En retard")+COUNTIF($O$6:O42,"Juste"),"")</f>
        <v/>
      </c>
    </row>
    <row r="43">
      <c r="A43" s="53" t="n"/>
      <c r="B43" s="53" t="n"/>
      <c r="C43" s="54" t="str">
        <f>IF(B43="","",IFERROR(INDEX(art_des,MATCH($B43,art_ref,0)),"Référence inconnue"))</f>
        <v/>
      </c>
      <c r="D43" s="55" t="n"/>
      <c r="E43" s="53" t="n"/>
      <c r="F43" s="56" t="n"/>
      <c r="G43" s="57" t="n"/>
      <c r="H43" s="56" t="n"/>
      <c r="I43" s="58" t="str">
        <f>IF(B43="","",IFERROR(INDEX(art_poste,MATCH($B43,art_ref,0))&amp;"",""))</f>
        <v/>
      </c>
      <c r="J43" s="59" t="str">
        <f>IF(OR(B43="",G43="Annulé",N(D43)&lt;=0),"",IFERROR(ROUND(INDEX(art_setup,MATCH($B43,art_ref,0))+D43*INDEX(art_cycle,MATCH($B43,art_ref,0))/60,2),""))</f>
        <v/>
      </c>
      <c r="K43" s="60" t="str">
        <f>IF(J43="","",IFERROR(MAX(1,ROUNDUP(J43/INDEX(po_cap,MATCH(I43,po_code,0)),0)),""))</f>
        <v/>
      </c>
      <c r="L43" s="61">
        <f>IF(K43="",0,IF(N(H43)&gt;0,H43,WORKDAY.INTL(MAX(p_start-1,SUMPRODUCT(MAX(($I$6:$I42=$I43)*$M$6:$M42))),1,p_weekend,p_holidays)))</f>
        <v>0.0</v>
      </c>
      <c r="M43" s="61">
        <f>IF(K43="",0,WORKDAY.INTL(L43,K43-1,p_weekend,p_holidays))</f>
        <v>0.0</v>
      </c>
      <c r="N43" s="62" t="str">
        <f>IF(OR(M43=0,N(F43)=0,G43="Terminé"),"",F43-M43)</f>
        <v/>
      </c>
      <c r="O43" s="58" t="str">
        <f>IF(B43="","",IF(G43="Annulé","Annulé",IF(G43="Terminé","Terminé",IF(M43=0,"À compléter",IF(N(F43)=0,"Sans échéance",IF(M43&gt;F43,"En retard",IF(F43-M43&lt;=p_margin,"Juste","À l'heure")))))))</f>
        <v/>
      </c>
      <c r="P43" s="55" t="n"/>
      <c r="Q43" s="63" t="str">
        <f>IF(OR(B43="",N(D43)&lt;=0),"",MIN(1,N(P43)/D43))</f>
        <v/>
      </c>
      <c r="R43" s="64" t="str">
        <f>IF(OR(J43="",ISNA(MATCH(I43,po_code,0))),"",ROUND(J43*N(INDEX(po_rate,MATCH(I43,po_code,0))),2))</f>
        <v/>
      </c>
      <c r="S43" s="58" t="str">
        <f>IF(AND(A43="",B43=""),"",IF(B43="","Référence manquante",IF(ISNA(MATCH($B43,art_ref,0)),"Référence inconnue",IF(N(D43)&lt;=0,"Quantité invalide",IF(AND(A43&lt;&gt;"",COUNTIF(of_num,A43)&gt;1),"N° OF en double",IF(G43="Annulé","OK",IF(I43="","Poste manquant (gamme)",IF(ISNA(MATCH(I43,po_code,0)),"Poste inconnu",IF(K43="","Capacité du poste nulle",IF(AND(H43&lt;&gt;"",N(H43)=0),"Début imposé invalide",IF(AND(N(H43)&gt;0,WORKDAY.INTL(H43-1,1,p_weekend,p_holidays)&lt;&gt;H43),"Début un jour chômé",IF(AND(N(H43)&gt;0,H43&lt;=SUMPRODUCT(MAX(($I$6:$I42=$I43)*$M$6:$M42))),"Chevauche l'OF précédent",IF(N(F43)=0,"Date de besoin manquante","OK")))))))))))))</f>
        <v/>
      </c>
      <c r="T43" s="65" t="str">
        <f>IF(K43="","",J43/K43)</f>
        <v/>
      </c>
      <c r="U43" s="66" t="str">
        <f>IF(OR(O43="En retard",O43="Juste"),COUNTIF($O$6:O43,"En retard")+COUNTIF($O$6:O43,"Juste"),"")</f>
        <v/>
      </c>
    </row>
    <row r="44">
      <c r="A44" s="53" t="n"/>
      <c r="B44" s="53" t="n"/>
      <c r="C44" s="54" t="str">
        <f>IF(B44="","",IFERROR(INDEX(art_des,MATCH($B44,art_ref,0)),"Référence inconnue"))</f>
        <v/>
      </c>
      <c r="D44" s="55" t="n"/>
      <c r="E44" s="53" t="n"/>
      <c r="F44" s="56" t="n"/>
      <c r="G44" s="57" t="n"/>
      <c r="H44" s="56" t="n"/>
      <c r="I44" s="58" t="str">
        <f>IF(B44="","",IFERROR(INDEX(art_poste,MATCH($B44,art_ref,0))&amp;"",""))</f>
        <v/>
      </c>
      <c r="J44" s="59" t="str">
        <f>IF(OR(B44="",G44="Annulé",N(D44)&lt;=0),"",IFERROR(ROUND(INDEX(art_setup,MATCH($B44,art_ref,0))+D44*INDEX(art_cycle,MATCH($B44,art_ref,0))/60,2),""))</f>
        <v/>
      </c>
      <c r="K44" s="60" t="str">
        <f>IF(J44="","",IFERROR(MAX(1,ROUNDUP(J44/INDEX(po_cap,MATCH(I44,po_code,0)),0)),""))</f>
        <v/>
      </c>
      <c r="L44" s="61">
        <f>IF(K44="",0,IF(N(H44)&gt;0,H44,WORKDAY.INTL(MAX(p_start-1,SUMPRODUCT(MAX(($I$6:$I43=$I44)*$M$6:$M43))),1,p_weekend,p_holidays)))</f>
        <v>0.0</v>
      </c>
      <c r="M44" s="61">
        <f>IF(K44="",0,WORKDAY.INTL(L44,K44-1,p_weekend,p_holidays))</f>
        <v>0.0</v>
      </c>
      <c r="N44" s="62" t="str">
        <f>IF(OR(M44=0,N(F44)=0,G44="Terminé"),"",F44-M44)</f>
        <v/>
      </c>
      <c r="O44" s="58" t="str">
        <f>IF(B44="","",IF(G44="Annulé","Annulé",IF(G44="Terminé","Terminé",IF(M44=0,"À compléter",IF(N(F44)=0,"Sans échéance",IF(M44&gt;F44,"En retard",IF(F44-M44&lt;=p_margin,"Juste","À l'heure")))))))</f>
        <v/>
      </c>
      <c r="P44" s="55" t="n"/>
      <c r="Q44" s="63" t="str">
        <f>IF(OR(B44="",N(D44)&lt;=0),"",MIN(1,N(P44)/D44))</f>
        <v/>
      </c>
      <c r="R44" s="64" t="str">
        <f>IF(OR(J44="",ISNA(MATCH(I44,po_code,0))),"",ROUND(J44*N(INDEX(po_rate,MATCH(I44,po_code,0))),2))</f>
        <v/>
      </c>
      <c r="S44" s="58" t="str">
        <f>IF(AND(A44="",B44=""),"",IF(B44="","Référence manquante",IF(ISNA(MATCH($B44,art_ref,0)),"Référence inconnue",IF(N(D44)&lt;=0,"Quantité invalide",IF(AND(A44&lt;&gt;"",COUNTIF(of_num,A44)&gt;1),"N° OF en double",IF(G44="Annulé","OK",IF(I44="","Poste manquant (gamme)",IF(ISNA(MATCH(I44,po_code,0)),"Poste inconnu",IF(K44="","Capacité du poste nulle",IF(AND(H44&lt;&gt;"",N(H44)=0),"Début imposé invalide",IF(AND(N(H44)&gt;0,WORKDAY.INTL(H44-1,1,p_weekend,p_holidays)&lt;&gt;H44),"Début un jour chômé",IF(AND(N(H44)&gt;0,H44&lt;=SUMPRODUCT(MAX(($I$6:$I43=$I44)*$M$6:$M43))),"Chevauche l'OF précédent",IF(N(F44)=0,"Date de besoin manquante","OK")))))))))))))</f>
        <v/>
      </c>
      <c r="T44" s="65" t="str">
        <f>IF(K44="","",J44/K44)</f>
        <v/>
      </c>
      <c r="U44" s="66" t="str">
        <f>IF(OR(O44="En retard",O44="Juste"),COUNTIF($O$6:O44,"En retard")+COUNTIF($O$6:O44,"Juste"),"")</f>
        <v/>
      </c>
    </row>
    <row r="45">
      <c r="A45" s="53" t="n"/>
      <c r="B45" s="53" t="n"/>
      <c r="C45" s="54" t="str">
        <f>IF(B45="","",IFERROR(INDEX(art_des,MATCH($B45,art_ref,0)),"Référence inconnue"))</f>
        <v/>
      </c>
      <c r="D45" s="55" t="n"/>
      <c r="E45" s="53" t="n"/>
      <c r="F45" s="56" t="n"/>
      <c r="G45" s="57" t="n"/>
      <c r="H45" s="56" t="n"/>
      <c r="I45" s="58" t="str">
        <f>IF(B45="","",IFERROR(INDEX(art_poste,MATCH($B45,art_ref,0))&amp;"",""))</f>
        <v/>
      </c>
      <c r="J45" s="59" t="str">
        <f>IF(OR(B45="",G45="Annulé",N(D45)&lt;=0),"",IFERROR(ROUND(INDEX(art_setup,MATCH($B45,art_ref,0))+D45*INDEX(art_cycle,MATCH($B45,art_ref,0))/60,2),""))</f>
        <v/>
      </c>
      <c r="K45" s="60" t="str">
        <f>IF(J45="","",IFERROR(MAX(1,ROUNDUP(J45/INDEX(po_cap,MATCH(I45,po_code,0)),0)),""))</f>
        <v/>
      </c>
      <c r="L45" s="61">
        <f>IF(K45="",0,IF(N(H45)&gt;0,H45,WORKDAY.INTL(MAX(p_start-1,SUMPRODUCT(MAX(($I$6:$I44=$I45)*$M$6:$M44))),1,p_weekend,p_holidays)))</f>
        <v>0.0</v>
      </c>
      <c r="M45" s="61">
        <f>IF(K45="",0,WORKDAY.INTL(L45,K45-1,p_weekend,p_holidays))</f>
        <v>0.0</v>
      </c>
      <c r="N45" s="62" t="str">
        <f>IF(OR(M45=0,N(F45)=0,G45="Terminé"),"",F45-M45)</f>
        <v/>
      </c>
      <c r="O45" s="58" t="str">
        <f>IF(B45="","",IF(G45="Annulé","Annulé",IF(G45="Terminé","Terminé",IF(M45=0,"À compléter",IF(N(F45)=0,"Sans échéance",IF(M45&gt;F45,"En retard",IF(F45-M45&lt;=p_margin,"Juste","À l'heure")))))))</f>
        <v/>
      </c>
      <c r="P45" s="55" t="n"/>
      <c r="Q45" s="63" t="str">
        <f>IF(OR(B45="",N(D45)&lt;=0),"",MIN(1,N(P45)/D45))</f>
        <v/>
      </c>
      <c r="R45" s="64" t="str">
        <f>IF(OR(J45="",ISNA(MATCH(I45,po_code,0))),"",ROUND(J45*N(INDEX(po_rate,MATCH(I45,po_code,0))),2))</f>
        <v/>
      </c>
      <c r="S45" s="58" t="str">
        <f>IF(AND(A45="",B45=""),"",IF(B45="","Référence manquante",IF(ISNA(MATCH($B45,art_ref,0)),"Référence inconnue",IF(N(D45)&lt;=0,"Quantité invalide",IF(AND(A45&lt;&gt;"",COUNTIF(of_num,A45)&gt;1),"N° OF en double",IF(G45="Annulé","OK",IF(I45="","Poste manquant (gamme)",IF(ISNA(MATCH(I45,po_code,0)),"Poste inconnu",IF(K45="","Capacité du poste nulle",IF(AND(H45&lt;&gt;"",N(H45)=0),"Début imposé invalide",IF(AND(N(H45)&gt;0,WORKDAY.INTL(H45-1,1,p_weekend,p_holidays)&lt;&gt;H45),"Début un jour chômé",IF(AND(N(H45)&gt;0,H45&lt;=SUMPRODUCT(MAX(($I$6:$I44=$I45)*$M$6:$M44))),"Chevauche l'OF précédent",IF(N(F45)=0,"Date de besoin manquante","OK")))))))))))))</f>
        <v/>
      </c>
      <c r="T45" s="65" t="str">
        <f>IF(K45="","",J45/K45)</f>
        <v/>
      </c>
      <c r="U45" s="66" t="str">
        <f>IF(OR(O45="En retard",O45="Juste"),COUNTIF($O$6:O45,"En retard")+COUNTIF($O$6:O45,"Juste"),"")</f>
        <v/>
      </c>
    </row>
    <row r="46">
      <c r="A46" s="53" t="n"/>
      <c r="B46" s="53" t="n"/>
      <c r="C46" s="54" t="str">
        <f>IF(B46="","",IFERROR(INDEX(art_des,MATCH($B46,art_ref,0)),"Référence inconnue"))</f>
        <v/>
      </c>
      <c r="D46" s="55" t="n"/>
      <c r="E46" s="53" t="n"/>
      <c r="F46" s="56" t="n"/>
      <c r="G46" s="57" t="n"/>
      <c r="H46" s="56" t="n"/>
      <c r="I46" s="58" t="str">
        <f>IF(B46="","",IFERROR(INDEX(art_poste,MATCH($B46,art_ref,0))&amp;"",""))</f>
        <v/>
      </c>
      <c r="J46" s="59" t="str">
        <f>IF(OR(B46="",G46="Annulé",N(D46)&lt;=0),"",IFERROR(ROUND(INDEX(art_setup,MATCH($B46,art_ref,0))+D46*INDEX(art_cycle,MATCH($B46,art_ref,0))/60,2),""))</f>
        <v/>
      </c>
      <c r="K46" s="60" t="str">
        <f>IF(J46="","",IFERROR(MAX(1,ROUNDUP(J46/INDEX(po_cap,MATCH(I46,po_code,0)),0)),""))</f>
        <v/>
      </c>
      <c r="L46" s="61">
        <f>IF(K46="",0,IF(N(H46)&gt;0,H46,WORKDAY.INTL(MAX(p_start-1,SUMPRODUCT(MAX(($I$6:$I45=$I46)*$M$6:$M45))),1,p_weekend,p_holidays)))</f>
        <v>0.0</v>
      </c>
      <c r="M46" s="61">
        <f>IF(K46="",0,WORKDAY.INTL(L46,K46-1,p_weekend,p_holidays))</f>
        <v>0.0</v>
      </c>
      <c r="N46" s="62" t="str">
        <f>IF(OR(M46=0,N(F46)=0,G46="Terminé"),"",F46-M46)</f>
        <v/>
      </c>
      <c r="O46" s="58" t="str">
        <f>IF(B46="","",IF(G46="Annulé","Annulé",IF(G46="Terminé","Terminé",IF(M46=0,"À compléter",IF(N(F46)=0,"Sans échéance",IF(M46&gt;F46,"En retard",IF(F46-M46&lt;=p_margin,"Juste","À l'heure")))))))</f>
        <v/>
      </c>
      <c r="P46" s="55" t="n"/>
      <c r="Q46" s="63" t="str">
        <f>IF(OR(B46="",N(D46)&lt;=0),"",MIN(1,N(P46)/D46))</f>
        <v/>
      </c>
      <c r="R46" s="64" t="str">
        <f>IF(OR(J46="",ISNA(MATCH(I46,po_code,0))),"",ROUND(J46*N(INDEX(po_rate,MATCH(I46,po_code,0))),2))</f>
        <v/>
      </c>
      <c r="S46" s="58" t="str">
        <f>IF(AND(A46="",B46=""),"",IF(B46="","Référence manquante",IF(ISNA(MATCH($B46,art_ref,0)),"Référence inconnue",IF(N(D46)&lt;=0,"Quantité invalide",IF(AND(A46&lt;&gt;"",COUNTIF(of_num,A46)&gt;1),"N° OF en double",IF(G46="Annulé","OK",IF(I46="","Poste manquant (gamme)",IF(ISNA(MATCH(I46,po_code,0)),"Poste inconnu",IF(K46="","Capacité du poste nulle",IF(AND(H46&lt;&gt;"",N(H46)=0),"Début imposé invalide",IF(AND(N(H46)&gt;0,WORKDAY.INTL(H46-1,1,p_weekend,p_holidays)&lt;&gt;H46),"Début un jour chômé",IF(AND(N(H46)&gt;0,H46&lt;=SUMPRODUCT(MAX(($I$6:$I45=$I46)*$M$6:$M45))),"Chevauche l'OF précédent",IF(N(F46)=0,"Date de besoin manquante","OK")))))))))))))</f>
        <v/>
      </c>
      <c r="T46" s="65" t="str">
        <f>IF(K46="","",J46/K46)</f>
        <v/>
      </c>
      <c r="U46" s="66" t="str">
        <f>IF(OR(O46="En retard",O46="Juste"),COUNTIF($O$6:O46,"En retard")+COUNTIF($O$6:O46,"Juste"),"")</f>
        <v/>
      </c>
    </row>
    <row r="47">
      <c r="A47" s="53" t="n"/>
      <c r="B47" s="53" t="n"/>
      <c r="C47" s="54" t="str">
        <f>IF(B47="","",IFERROR(INDEX(art_des,MATCH($B47,art_ref,0)),"Référence inconnue"))</f>
        <v/>
      </c>
      <c r="D47" s="55" t="n"/>
      <c r="E47" s="53" t="n"/>
      <c r="F47" s="56" t="n"/>
      <c r="G47" s="57" t="n"/>
      <c r="H47" s="56" t="n"/>
      <c r="I47" s="58" t="str">
        <f>IF(B47="","",IFERROR(INDEX(art_poste,MATCH($B47,art_ref,0))&amp;"",""))</f>
        <v/>
      </c>
      <c r="J47" s="59" t="str">
        <f>IF(OR(B47="",G47="Annulé",N(D47)&lt;=0),"",IFERROR(ROUND(INDEX(art_setup,MATCH($B47,art_ref,0))+D47*INDEX(art_cycle,MATCH($B47,art_ref,0))/60,2),""))</f>
        <v/>
      </c>
      <c r="K47" s="60" t="str">
        <f>IF(J47="","",IFERROR(MAX(1,ROUNDUP(J47/INDEX(po_cap,MATCH(I47,po_code,0)),0)),""))</f>
        <v/>
      </c>
      <c r="L47" s="61">
        <f>IF(K47="",0,IF(N(H47)&gt;0,H47,WORKDAY.INTL(MAX(p_start-1,SUMPRODUCT(MAX(($I$6:$I46=$I47)*$M$6:$M46))),1,p_weekend,p_holidays)))</f>
        <v>0.0</v>
      </c>
      <c r="M47" s="61">
        <f>IF(K47="",0,WORKDAY.INTL(L47,K47-1,p_weekend,p_holidays))</f>
        <v>0.0</v>
      </c>
      <c r="N47" s="62" t="str">
        <f>IF(OR(M47=0,N(F47)=0,G47="Terminé"),"",F47-M47)</f>
        <v/>
      </c>
      <c r="O47" s="58" t="str">
        <f>IF(B47="","",IF(G47="Annulé","Annulé",IF(G47="Terminé","Terminé",IF(M47=0,"À compléter",IF(N(F47)=0,"Sans échéance",IF(M47&gt;F47,"En retard",IF(F47-M47&lt;=p_margin,"Juste","À l'heure")))))))</f>
        <v/>
      </c>
      <c r="P47" s="55" t="n"/>
      <c r="Q47" s="63" t="str">
        <f>IF(OR(B47="",N(D47)&lt;=0),"",MIN(1,N(P47)/D47))</f>
        <v/>
      </c>
      <c r="R47" s="64" t="str">
        <f>IF(OR(J47="",ISNA(MATCH(I47,po_code,0))),"",ROUND(J47*N(INDEX(po_rate,MATCH(I47,po_code,0))),2))</f>
        <v/>
      </c>
      <c r="S47" s="58" t="str">
        <f>IF(AND(A47="",B47=""),"",IF(B47="","Référence manquante",IF(ISNA(MATCH($B47,art_ref,0)),"Référence inconnue",IF(N(D47)&lt;=0,"Quantité invalide",IF(AND(A47&lt;&gt;"",COUNTIF(of_num,A47)&gt;1),"N° OF en double",IF(G47="Annulé","OK",IF(I47="","Poste manquant (gamme)",IF(ISNA(MATCH(I47,po_code,0)),"Poste inconnu",IF(K47="","Capacité du poste nulle",IF(AND(H47&lt;&gt;"",N(H47)=0),"Début imposé invalide",IF(AND(N(H47)&gt;0,WORKDAY.INTL(H47-1,1,p_weekend,p_holidays)&lt;&gt;H47),"Début un jour chômé",IF(AND(N(H47)&gt;0,H47&lt;=SUMPRODUCT(MAX(($I$6:$I46=$I47)*$M$6:$M46))),"Chevauche l'OF précédent",IF(N(F47)=0,"Date de besoin manquante","OK")))))))))))))</f>
        <v/>
      </c>
      <c r="T47" s="65" t="str">
        <f>IF(K47="","",J47/K47)</f>
        <v/>
      </c>
      <c r="U47" s="66" t="str">
        <f>IF(OR(O47="En retard",O47="Juste"),COUNTIF($O$6:O47,"En retard")+COUNTIF($O$6:O47,"Juste"),"")</f>
        <v/>
      </c>
    </row>
    <row r="48">
      <c r="A48" s="53" t="n"/>
      <c r="B48" s="53" t="n"/>
      <c r="C48" s="54" t="str">
        <f>IF(B48="","",IFERROR(INDEX(art_des,MATCH($B48,art_ref,0)),"Référence inconnue"))</f>
        <v/>
      </c>
      <c r="D48" s="55" t="n"/>
      <c r="E48" s="53" t="n"/>
      <c r="F48" s="56" t="n"/>
      <c r="G48" s="57" t="n"/>
      <c r="H48" s="56" t="n"/>
      <c r="I48" s="58" t="str">
        <f>IF(B48="","",IFERROR(INDEX(art_poste,MATCH($B48,art_ref,0))&amp;"",""))</f>
        <v/>
      </c>
      <c r="J48" s="59" t="str">
        <f>IF(OR(B48="",G48="Annulé",N(D48)&lt;=0),"",IFERROR(ROUND(INDEX(art_setup,MATCH($B48,art_ref,0))+D48*INDEX(art_cycle,MATCH($B48,art_ref,0))/60,2),""))</f>
        <v/>
      </c>
      <c r="K48" s="60" t="str">
        <f>IF(J48="","",IFERROR(MAX(1,ROUNDUP(J48/INDEX(po_cap,MATCH(I48,po_code,0)),0)),""))</f>
        <v/>
      </c>
      <c r="L48" s="61">
        <f>IF(K48="",0,IF(N(H48)&gt;0,H48,WORKDAY.INTL(MAX(p_start-1,SUMPRODUCT(MAX(($I$6:$I47=$I48)*$M$6:$M47))),1,p_weekend,p_holidays)))</f>
        <v>0.0</v>
      </c>
      <c r="M48" s="61">
        <f>IF(K48="",0,WORKDAY.INTL(L48,K48-1,p_weekend,p_holidays))</f>
        <v>0.0</v>
      </c>
      <c r="N48" s="62" t="str">
        <f>IF(OR(M48=0,N(F48)=0,G48="Terminé"),"",F48-M48)</f>
        <v/>
      </c>
      <c r="O48" s="58" t="str">
        <f>IF(B48="","",IF(G48="Annulé","Annulé",IF(G48="Terminé","Terminé",IF(M48=0,"À compléter",IF(N(F48)=0,"Sans échéance",IF(M48&gt;F48,"En retard",IF(F48-M48&lt;=p_margin,"Juste","À l'heure")))))))</f>
        <v/>
      </c>
      <c r="P48" s="55" t="n"/>
      <c r="Q48" s="63" t="str">
        <f>IF(OR(B48="",N(D48)&lt;=0),"",MIN(1,N(P48)/D48))</f>
        <v/>
      </c>
      <c r="R48" s="64" t="str">
        <f>IF(OR(J48="",ISNA(MATCH(I48,po_code,0))),"",ROUND(J48*N(INDEX(po_rate,MATCH(I48,po_code,0))),2))</f>
        <v/>
      </c>
      <c r="S48" s="58" t="str">
        <f>IF(AND(A48="",B48=""),"",IF(B48="","Référence manquante",IF(ISNA(MATCH($B48,art_ref,0)),"Référence inconnue",IF(N(D48)&lt;=0,"Quantité invalide",IF(AND(A48&lt;&gt;"",COUNTIF(of_num,A48)&gt;1),"N° OF en double",IF(G48="Annulé","OK",IF(I48="","Poste manquant (gamme)",IF(ISNA(MATCH(I48,po_code,0)),"Poste inconnu",IF(K48="","Capacité du poste nulle",IF(AND(H48&lt;&gt;"",N(H48)=0),"Début imposé invalide",IF(AND(N(H48)&gt;0,WORKDAY.INTL(H48-1,1,p_weekend,p_holidays)&lt;&gt;H48),"Début un jour chômé",IF(AND(N(H48)&gt;0,H48&lt;=SUMPRODUCT(MAX(($I$6:$I47=$I48)*$M$6:$M47))),"Chevauche l'OF précédent",IF(N(F48)=0,"Date de besoin manquante","OK")))))))))))))</f>
        <v/>
      </c>
      <c r="T48" s="65" t="str">
        <f>IF(K48="","",J48/K48)</f>
        <v/>
      </c>
      <c r="U48" s="66" t="str">
        <f>IF(OR(O48="En retard",O48="Juste"),COUNTIF($O$6:O48,"En retard")+COUNTIF($O$6:O48,"Juste"),"")</f>
        <v/>
      </c>
    </row>
    <row r="49">
      <c r="A49" s="53" t="n"/>
      <c r="B49" s="53" t="n"/>
      <c r="C49" s="54" t="str">
        <f>IF(B49="","",IFERROR(INDEX(art_des,MATCH($B49,art_ref,0)),"Référence inconnue"))</f>
        <v/>
      </c>
      <c r="D49" s="55" t="n"/>
      <c r="E49" s="53" t="n"/>
      <c r="F49" s="56" t="n"/>
      <c r="G49" s="57" t="n"/>
      <c r="H49" s="56" t="n"/>
      <c r="I49" s="58" t="str">
        <f>IF(B49="","",IFERROR(INDEX(art_poste,MATCH($B49,art_ref,0))&amp;"",""))</f>
        <v/>
      </c>
      <c r="J49" s="59" t="str">
        <f>IF(OR(B49="",G49="Annulé",N(D49)&lt;=0),"",IFERROR(ROUND(INDEX(art_setup,MATCH($B49,art_ref,0))+D49*INDEX(art_cycle,MATCH($B49,art_ref,0))/60,2),""))</f>
        <v/>
      </c>
      <c r="K49" s="60" t="str">
        <f>IF(J49="","",IFERROR(MAX(1,ROUNDUP(J49/INDEX(po_cap,MATCH(I49,po_code,0)),0)),""))</f>
        <v/>
      </c>
      <c r="L49" s="61">
        <f>IF(K49="",0,IF(N(H49)&gt;0,H49,WORKDAY.INTL(MAX(p_start-1,SUMPRODUCT(MAX(($I$6:$I48=$I49)*$M$6:$M48))),1,p_weekend,p_holidays)))</f>
        <v>0.0</v>
      </c>
      <c r="M49" s="61">
        <f>IF(K49="",0,WORKDAY.INTL(L49,K49-1,p_weekend,p_holidays))</f>
        <v>0.0</v>
      </c>
      <c r="N49" s="62" t="str">
        <f>IF(OR(M49=0,N(F49)=0,G49="Terminé"),"",F49-M49)</f>
        <v/>
      </c>
      <c r="O49" s="58" t="str">
        <f>IF(B49="","",IF(G49="Annulé","Annulé",IF(G49="Terminé","Terminé",IF(M49=0,"À compléter",IF(N(F49)=0,"Sans échéance",IF(M49&gt;F49,"En retard",IF(F49-M49&lt;=p_margin,"Juste","À l'heure")))))))</f>
        <v/>
      </c>
      <c r="P49" s="55" t="n"/>
      <c r="Q49" s="63" t="str">
        <f>IF(OR(B49="",N(D49)&lt;=0),"",MIN(1,N(P49)/D49))</f>
        <v/>
      </c>
      <c r="R49" s="64" t="str">
        <f>IF(OR(J49="",ISNA(MATCH(I49,po_code,0))),"",ROUND(J49*N(INDEX(po_rate,MATCH(I49,po_code,0))),2))</f>
        <v/>
      </c>
      <c r="S49" s="58" t="str">
        <f>IF(AND(A49="",B49=""),"",IF(B49="","Référence manquante",IF(ISNA(MATCH($B49,art_ref,0)),"Référence inconnue",IF(N(D49)&lt;=0,"Quantité invalide",IF(AND(A49&lt;&gt;"",COUNTIF(of_num,A49)&gt;1),"N° OF en double",IF(G49="Annulé","OK",IF(I49="","Poste manquant (gamme)",IF(ISNA(MATCH(I49,po_code,0)),"Poste inconnu",IF(K49="","Capacité du poste nulle",IF(AND(H49&lt;&gt;"",N(H49)=0),"Début imposé invalide",IF(AND(N(H49)&gt;0,WORKDAY.INTL(H49-1,1,p_weekend,p_holidays)&lt;&gt;H49),"Début un jour chômé",IF(AND(N(H49)&gt;0,H49&lt;=SUMPRODUCT(MAX(($I$6:$I48=$I49)*$M$6:$M48))),"Chevauche l'OF précédent",IF(N(F49)=0,"Date de besoin manquante","OK")))))))))))))</f>
        <v/>
      </c>
      <c r="T49" s="65" t="str">
        <f>IF(K49="","",J49/K49)</f>
        <v/>
      </c>
      <c r="U49" s="66" t="str">
        <f>IF(OR(O49="En retard",O49="Juste"),COUNTIF($O$6:O49,"En retard")+COUNTIF($O$6:O49,"Juste"),"")</f>
        <v/>
      </c>
    </row>
    <row r="50">
      <c r="A50" s="53" t="n"/>
      <c r="B50" s="53" t="n"/>
      <c r="C50" s="54" t="str">
        <f>IF(B50="","",IFERROR(INDEX(art_des,MATCH($B50,art_ref,0)),"Référence inconnue"))</f>
        <v/>
      </c>
      <c r="D50" s="55" t="n"/>
      <c r="E50" s="53" t="n"/>
      <c r="F50" s="56" t="n"/>
      <c r="G50" s="57" t="n"/>
      <c r="H50" s="56" t="n"/>
      <c r="I50" s="58" t="str">
        <f>IF(B50="","",IFERROR(INDEX(art_poste,MATCH($B50,art_ref,0))&amp;"",""))</f>
        <v/>
      </c>
      <c r="J50" s="59" t="str">
        <f>IF(OR(B50="",G50="Annulé",N(D50)&lt;=0),"",IFERROR(ROUND(INDEX(art_setup,MATCH($B50,art_ref,0))+D50*INDEX(art_cycle,MATCH($B50,art_ref,0))/60,2),""))</f>
        <v/>
      </c>
      <c r="K50" s="60" t="str">
        <f>IF(J50="","",IFERROR(MAX(1,ROUNDUP(J50/INDEX(po_cap,MATCH(I50,po_code,0)),0)),""))</f>
        <v/>
      </c>
      <c r="L50" s="61">
        <f>IF(K50="",0,IF(N(H50)&gt;0,H50,WORKDAY.INTL(MAX(p_start-1,SUMPRODUCT(MAX(($I$6:$I49=$I50)*$M$6:$M49))),1,p_weekend,p_holidays)))</f>
        <v>0.0</v>
      </c>
      <c r="M50" s="61">
        <f>IF(K50="",0,WORKDAY.INTL(L50,K50-1,p_weekend,p_holidays))</f>
        <v>0.0</v>
      </c>
      <c r="N50" s="62" t="str">
        <f>IF(OR(M50=0,N(F50)=0,G50="Terminé"),"",F50-M50)</f>
        <v/>
      </c>
      <c r="O50" s="58" t="str">
        <f>IF(B50="","",IF(G50="Annulé","Annulé",IF(G50="Terminé","Terminé",IF(M50=0,"À compléter",IF(N(F50)=0,"Sans échéance",IF(M50&gt;F50,"En retard",IF(F50-M50&lt;=p_margin,"Juste","À l'heure")))))))</f>
        <v/>
      </c>
      <c r="P50" s="55" t="n"/>
      <c r="Q50" s="63" t="str">
        <f>IF(OR(B50="",N(D50)&lt;=0),"",MIN(1,N(P50)/D50))</f>
        <v/>
      </c>
      <c r="R50" s="64" t="str">
        <f>IF(OR(J50="",ISNA(MATCH(I50,po_code,0))),"",ROUND(J50*N(INDEX(po_rate,MATCH(I50,po_code,0))),2))</f>
        <v/>
      </c>
      <c r="S50" s="58" t="str">
        <f>IF(AND(A50="",B50=""),"",IF(B50="","Référence manquante",IF(ISNA(MATCH($B50,art_ref,0)),"Référence inconnue",IF(N(D50)&lt;=0,"Quantité invalide",IF(AND(A50&lt;&gt;"",COUNTIF(of_num,A50)&gt;1),"N° OF en double",IF(G50="Annulé","OK",IF(I50="","Poste manquant (gamme)",IF(ISNA(MATCH(I50,po_code,0)),"Poste inconnu",IF(K50="","Capacité du poste nulle",IF(AND(H50&lt;&gt;"",N(H50)=0),"Début imposé invalide",IF(AND(N(H50)&gt;0,WORKDAY.INTL(H50-1,1,p_weekend,p_holidays)&lt;&gt;H50),"Début un jour chômé",IF(AND(N(H50)&gt;0,H50&lt;=SUMPRODUCT(MAX(($I$6:$I49=$I50)*$M$6:$M49))),"Chevauche l'OF précédent",IF(N(F50)=0,"Date de besoin manquante","OK")))))))))))))</f>
        <v/>
      </c>
      <c r="T50" s="65" t="str">
        <f>IF(K50="","",J50/K50)</f>
        <v/>
      </c>
      <c r="U50" s="66" t="str">
        <f>IF(OR(O50="En retard",O50="Juste"),COUNTIF($O$6:O50,"En retard")+COUNTIF($O$6:O50,"Juste"),"")</f>
        <v/>
      </c>
    </row>
    <row r="51">
      <c r="A51" s="53" t="n"/>
      <c r="B51" s="53" t="n"/>
      <c r="C51" s="54" t="str">
        <f>IF(B51="","",IFERROR(INDEX(art_des,MATCH($B51,art_ref,0)),"Référence inconnue"))</f>
        <v/>
      </c>
      <c r="D51" s="55" t="n"/>
      <c r="E51" s="53" t="n"/>
      <c r="F51" s="56" t="n"/>
      <c r="G51" s="57" t="n"/>
      <c r="H51" s="56" t="n"/>
      <c r="I51" s="58" t="str">
        <f>IF(B51="","",IFERROR(INDEX(art_poste,MATCH($B51,art_ref,0))&amp;"",""))</f>
        <v/>
      </c>
      <c r="J51" s="59" t="str">
        <f>IF(OR(B51="",G51="Annulé",N(D51)&lt;=0),"",IFERROR(ROUND(INDEX(art_setup,MATCH($B51,art_ref,0))+D51*INDEX(art_cycle,MATCH($B51,art_ref,0))/60,2),""))</f>
        <v/>
      </c>
      <c r="K51" s="60" t="str">
        <f>IF(J51="","",IFERROR(MAX(1,ROUNDUP(J51/INDEX(po_cap,MATCH(I51,po_code,0)),0)),""))</f>
        <v/>
      </c>
      <c r="L51" s="61">
        <f>IF(K51="",0,IF(N(H51)&gt;0,H51,WORKDAY.INTL(MAX(p_start-1,SUMPRODUCT(MAX(($I$6:$I50=$I51)*$M$6:$M50))),1,p_weekend,p_holidays)))</f>
        <v>0.0</v>
      </c>
      <c r="M51" s="61">
        <f>IF(K51="",0,WORKDAY.INTL(L51,K51-1,p_weekend,p_holidays))</f>
        <v>0.0</v>
      </c>
      <c r="N51" s="62" t="str">
        <f>IF(OR(M51=0,N(F51)=0,G51="Terminé"),"",F51-M51)</f>
        <v/>
      </c>
      <c r="O51" s="58" t="str">
        <f>IF(B51="","",IF(G51="Annulé","Annulé",IF(G51="Terminé","Terminé",IF(M51=0,"À compléter",IF(N(F51)=0,"Sans échéance",IF(M51&gt;F51,"En retard",IF(F51-M51&lt;=p_margin,"Juste","À l'heure")))))))</f>
        <v/>
      </c>
      <c r="P51" s="55" t="n"/>
      <c r="Q51" s="63" t="str">
        <f>IF(OR(B51="",N(D51)&lt;=0),"",MIN(1,N(P51)/D51))</f>
        <v/>
      </c>
      <c r="R51" s="64" t="str">
        <f>IF(OR(J51="",ISNA(MATCH(I51,po_code,0))),"",ROUND(J51*N(INDEX(po_rate,MATCH(I51,po_code,0))),2))</f>
        <v/>
      </c>
      <c r="S51" s="58" t="str">
        <f>IF(AND(A51="",B51=""),"",IF(B51="","Référence manquante",IF(ISNA(MATCH($B51,art_ref,0)),"Référence inconnue",IF(N(D51)&lt;=0,"Quantité invalide",IF(AND(A51&lt;&gt;"",COUNTIF(of_num,A51)&gt;1),"N° OF en double",IF(G51="Annulé","OK",IF(I51="","Poste manquant (gamme)",IF(ISNA(MATCH(I51,po_code,0)),"Poste inconnu",IF(K51="","Capacité du poste nulle",IF(AND(H51&lt;&gt;"",N(H51)=0),"Début imposé invalide",IF(AND(N(H51)&gt;0,WORKDAY.INTL(H51-1,1,p_weekend,p_holidays)&lt;&gt;H51),"Début un jour chômé",IF(AND(N(H51)&gt;0,H51&lt;=SUMPRODUCT(MAX(($I$6:$I50=$I51)*$M$6:$M50))),"Chevauche l'OF précédent",IF(N(F51)=0,"Date de besoin manquante","OK")))))))))))))</f>
        <v/>
      </c>
      <c r="T51" s="65" t="str">
        <f>IF(K51="","",J51/K51)</f>
        <v/>
      </c>
      <c r="U51" s="66" t="str">
        <f>IF(OR(O51="En retard",O51="Juste"),COUNTIF($O$6:O51,"En retard")+COUNTIF($O$6:O51,"Juste"),"")</f>
        <v/>
      </c>
    </row>
    <row r="52">
      <c r="A52" s="53" t="n"/>
      <c r="B52" s="53" t="n"/>
      <c r="C52" s="54" t="str">
        <f>IF(B52="","",IFERROR(INDEX(art_des,MATCH($B52,art_ref,0)),"Référence inconnue"))</f>
        <v/>
      </c>
      <c r="D52" s="55" t="n"/>
      <c r="E52" s="53" t="n"/>
      <c r="F52" s="56" t="n"/>
      <c r="G52" s="57" t="n"/>
      <c r="H52" s="56" t="n"/>
      <c r="I52" s="58" t="str">
        <f>IF(B52="","",IFERROR(INDEX(art_poste,MATCH($B52,art_ref,0))&amp;"",""))</f>
        <v/>
      </c>
      <c r="J52" s="59" t="str">
        <f>IF(OR(B52="",G52="Annulé",N(D52)&lt;=0),"",IFERROR(ROUND(INDEX(art_setup,MATCH($B52,art_ref,0))+D52*INDEX(art_cycle,MATCH($B52,art_ref,0))/60,2),""))</f>
        <v/>
      </c>
      <c r="K52" s="60" t="str">
        <f>IF(J52="","",IFERROR(MAX(1,ROUNDUP(J52/INDEX(po_cap,MATCH(I52,po_code,0)),0)),""))</f>
        <v/>
      </c>
      <c r="L52" s="61">
        <f>IF(K52="",0,IF(N(H52)&gt;0,H52,WORKDAY.INTL(MAX(p_start-1,SUMPRODUCT(MAX(($I$6:$I51=$I52)*$M$6:$M51))),1,p_weekend,p_holidays)))</f>
        <v>0.0</v>
      </c>
      <c r="M52" s="61">
        <f>IF(K52="",0,WORKDAY.INTL(L52,K52-1,p_weekend,p_holidays))</f>
        <v>0.0</v>
      </c>
      <c r="N52" s="62" t="str">
        <f>IF(OR(M52=0,N(F52)=0,G52="Terminé"),"",F52-M52)</f>
        <v/>
      </c>
      <c r="O52" s="58" t="str">
        <f>IF(B52="","",IF(G52="Annulé","Annulé",IF(G52="Terminé","Terminé",IF(M52=0,"À compléter",IF(N(F52)=0,"Sans échéance",IF(M52&gt;F52,"En retard",IF(F52-M52&lt;=p_margin,"Juste","À l'heure")))))))</f>
        <v/>
      </c>
      <c r="P52" s="55" t="n"/>
      <c r="Q52" s="63" t="str">
        <f>IF(OR(B52="",N(D52)&lt;=0),"",MIN(1,N(P52)/D52))</f>
        <v/>
      </c>
      <c r="R52" s="64" t="str">
        <f>IF(OR(J52="",ISNA(MATCH(I52,po_code,0))),"",ROUND(J52*N(INDEX(po_rate,MATCH(I52,po_code,0))),2))</f>
        <v/>
      </c>
      <c r="S52" s="58" t="str">
        <f>IF(AND(A52="",B52=""),"",IF(B52="","Référence manquante",IF(ISNA(MATCH($B52,art_ref,0)),"Référence inconnue",IF(N(D52)&lt;=0,"Quantité invalide",IF(AND(A52&lt;&gt;"",COUNTIF(of_num,A52)&gt;1),"N° OF en double",IF(G52="Annulé","OK",IF(I52="","Poste manquant (gamme)",IF(ISNA(MATCH(I52,po_code,0)),"Poste inconnu",IF(K52="","Capacité du poste nulle",IF(AND(H52&lt;&gt;"",N(H52)=0),"Début imposé invalide",IF(AND(N(H52)&gt;0,WORKDAY.INTL(H52-1,1,p_weekend,p_holidays)&lt;&gt;H52),"Début un jour chômé",IF(AND(N(H52)&gt;0,H52&lt;=SUMPRODUCT(MAX(($I$6:$I51=$I52)*$M$6:$M51))),"Chevauche l'OF précédent",IF(N(F52)=0,"Date de besoin manquante","OK")))))))))))))</f>
        <v/>
      </c>
      <c r="T52" s="65" t="str">
        <f>IF(K52="","",J52/K52)</f>
        <v/>
      </c>
      <c r="U52" s="66" t="str">
        <f>IF(OR(O52="En retard",O52="Juste"),COUNTIF($O$6:O52,"En retard")+COUNTIF($O$6:O52,"Juste"),"")</f>
        <v/>
      </c>
    </row>
    <row r="53">
      <c r="A53" s="53" t="n"/>
      <c r="B53" s="53" t="n"/>
      <c r="C53" s="54" t="str">
        <f>IF(B53="","",IFERROR(INDEX(art_des,MATCH($B53,art_ref,0)),"Référence inconnue"))</f>
        <v/>
      </c>
      <c r="D53" s="55" t="n"/>
      <c r="E53" s="53" t="n"/>
      <c r="F53" s="56" t="n"/>
      <c r="G53" s="57" t="n"/>
      <c r="H53" s="56" t="n"/>
      <c r="I53" s="58" t="str">
        <f>IF(B53="","",IFERROR(INDEX(art_poste,MATCH($B53,art_ref,0))&amp;"",""))</f>
        <v/>
      </c>
      <c r="J53" s="59" t="str">
        <f>IF(OR(B53="",G53="Annulé",N(D53)&lt;=0),"",IFERROR(ROUND(INDEX(art_setup,MATCH($B53,art_ref,0))+D53*INDEX(art_cycle,MATCH($B53,art_ref,0))/60,2),""))</f>
        <v/>
      </c>
      <c r="K53" s="60" t="str">
        <f>IF(J53="","",IFERROR(MAX(1,ROUNDUP(J53/INDEX(po_cap,MATCH(I53,po_code,0)),0)),""))</f>
        <v/>
      </c>
      <c r="L53" s="61">
        <f>IF(K53="",0,IF(N(H53)&gt;0,H53,WORKDAY.INTL(MAX(p_start-1,SUMPRODUCT(MAX(($I$6:$I52=$I53)*$M$6:$M52))),1,p_weekend,p_holidays)))</f>
        <v>0.0</v>
      </c>
      <c r="M53" s="61">
        <f>IF(K53="",0,WORKDAY.INTL(L53,K53-1,p_weekend,p_holidays))</f>
        <v>0.0</v>
      </c>
      <c r="N53" s="62" t="str">
        <f>IF(OR(M53=0,N(F53)=0,G53="Terminé"),"",F53-M53)</f>
        <v/>
      </c>
      <c r="O53" s="58" t="str">
        <f>IF(B53="","",IF(G53="Annulé","Annulé",IF(G53="Terminé","Terminé",IF(M53=0,"À compléter",IF(N(F53)=0,"Sans échéance",IF(M53&gt;F53,"En retard",IF(F53-M53&lt;=p_margin,"Juste","À l'heure")))))))</f>
        <v/>
      </c>
      <c r="P53" s="55" t="n"/>
      <c r="Q53" s="63" t="str">
        <f>IF(OR(B53="",N(D53)&lt;=0),"",MIN(1,N(P53)/D53))</f>
        <v/>
      </c>
      <c r="R53" s="64" t="str">
        <f>IF(OR(J53="",ISNA(MATCH(I53,po_code,0))),"",ROUND(J53*N(INDEX(po_rate,MATCH(I53,po_code,0))),2))</f>
        <v/>
      </c>
      <c r="S53" s="58" t="str">
        <f>IF(AND(A53="",B53=""),"",IF(B53="","Référence manquante",IF(ISNA(MATCH($B53,art_ref,0)),"Référence inconnue",IF(N(D53)&lt;=0,"Quantité invalide",IF(AND(A53&lt;&gt;"",COUNTIF(of_num,A53)&gt;1),"N° OF en double",IF(G53="Annulé","OK",IF(I53="","Poste manquant (gamme)",IF(ISNA(MATCH(I53,po_code,0)),"Poste inconnu",IF(K53="","Capacité du poste nulle",IF(AND(H53&lt;&gt;"",N(H53)=0),"Début imposé invalide",IF(AND(N(H53)&gt;0,WORKDAY.INTL(H53-1,1,p_weekend,p_holidays)&lt;&gt;H53),"Début un jour chômé",IF(AND(N(H53)&gt;0,H53&lt;=SUMPRODUCT(MAX(($I$6:$I52=$I53)*$M$6:$M52))),"Chevauche l'OF précédent",IF(N(F53)=0,"Date de besoin manquante","OK")))))))))))))</f>
        <v/>
      </c>
      <c r="T53" s="65" t="str">
        <f>IF(K53="","",J53/K53)</f>
        <v/>
      </c>
      <c r="U53" s="66" t="str">
        <f>IF(OR(O53="En retard",O53="Juste"),COUNTIF($O$6:O53,"En retard")+COUNTIF($O$6:O53,"Juste"),"")</f>
        <v/>
      </c>
    </row>
    <row r="54">
      <c r="A54" s="53" t="n"/>
      <c r="B54" s="53" t="n"/>
      <c r="C54" s="54" t="str">
        <f>IF(B54="","",IFERROR(INDEX(art_des,MATCH($B54,art_ref,0)),"Référence inconnue"))</f>
        <v/>
      </c>
      <c r="D54" s="55" t="n"/>
      <c r="E54" s="53" t="n"/>
      <c r="F54" s="56" t="n"/>
      <c r="G54" s="57" t="n"/>
      <c r="H54" s="56" t="n"/>
      <c r="I54" s="58" t="str">
        <f>IF(B54="","",IFERROR(INDEX(art_poste,MATCH($B54,art_ref,0))&amp;"",""))</f>
        <v/>
      </c>
      <c r="J54" s="59" t="str">
        <f>IF(OR(B54="",G54="Annulé",N(D54)&lt;=0),"",IFERROR(ROUND(INDEX(art_setup,MATCH($B54,art_ref,0))+D54*INDEX(art_cycle,MATCH($B54,art_ref,0))/60,2),""))</f>
        <v/>
      </c>
      <c r="K54" s="60" t="str">
        <f>IF(J54="","",IFERROR(MAX(1,ROUNDUP(J54/INDEX(po_cap,MATCH(I54,po_code,0)),0)),""))</f>
        <v/>
      </c>
      <c r="L54" s="61">
        <f>IF(K54="",0,IF(N(H54)&gt;0,H54,WORKDAY.INTL(MAX(p_start-1,SUMPRODUCT(MAX(($I$6:$I53=$I54)*$M$6:$M53))),1,p_weekend,p_holidays)))</f>
        <v>0.0</v>
      </c>
      <c r="M54" s="61">
        <f>IF(K54="",0,WORKDAY.INTL(L54,K54-1,p_weekend,p_holidays))</f>
        <v>0.0</v>
      </c>
      <c r="N54" s="62" t="str">
        <f>IF(OR(M54=0,N(F54)=0,G54="Terminé"),"",F54-M54)</f>
        <v/>
      </c>
      <c r="O54" s="58" t="str">
        <f>IF(B54="","",IF(G54="Annulé","Annulé",IF(G54="Terminé","Terminé",IF(M54=0,"À compléter",IF(N(F54)=0,"Sans échéance",IF(M54&gt;F54,"En retard",IF(F54-M54&lt;=p_margin,"Juste","À l'heure")))))))</f>
        <v/>
      </c>
      <c r="P54" s="55" t="n"/>
      <c r="Q54" s="63" t="str">
        <f>IF(OR(B54="",N(D54)&lt;=0),"",MIN(1,N(P54)/D54))</f>
        <v/>
      </c>
      <c r="R54" s="64" t="str">
        <f>IF(OR(J54="",ISNA(MATCH(I54,po_code,0))),"",ROUND(J54*N(INDEX(po_rate,MATCH(I54,po_code,0))),2))</f>
        <v/>
      </c>
      <c r="S54" s="58" t="str">
        <f>IF(AND(A54="",B54=""),"",IF(B54="","Référence manquante",IF(ISNA(MATCH($B54,art_ref,0)),"Référence inconnue",IF(N(D54)&lt;=0,"Quantité invalide",IF(AND(A54&lt;&gt;"",COUNTIF(of_num,A54)&gt;1),"N° OF en double",IF(G54="Annulé","OK",IF(I54="","Poste manquant (gamme)",IF(ISNA(MATCH(I54,po_code,0)),"Poste inconnu",IF(K54="","Capacité du poste nulle",IF(AND(H54&lt;&gt;"",N(H54)=0),"Début imposé invalide",IF(AND(N(H54)&gt;0,WORKDAY.INTL(H54-1,1,p_weekend,p_holidays)&lt;&gt;H54),"Début un jour chômé",IF(AND(N(H54)&gt;0,H54&lt;=SUMPRODUCT(MAX(($I$6:$I53=$I54)*$M$6:$M53))),"Chevauche l'OF précédent",IF(N(F54)=0,"Date de besoin manquante","OK")))))))))))))</f>
        <v/>
      </c>
      <c r="T54" s="65" t="str">
        <f>IF(K54="","",J54/K54)</f>
        <v/>
      </c>
      <c r="U54" s="66" t="str">
        <f>IF(OR(O54="En retard",O54="Juste"),COUNTIF($O$6:O54,"En retard")+COUNTIF($O$6:O54,"Juste"),"")</f>
        <v/>
      </c>
    </row>
    <row r="55">
      <c r="A55" s="53" t="n"/>
      <c r="B55" s="53" t="n"/>
      <c r="C55" s="54" t="str">
        <f>IF(B55="","",IFERROR(INDEX(art_des,MATCH($B55,art_ref,0)),"Référence inconnue"))</f>
        <v/>
      </c>
      <c r="D55" s="55" t="n"/>
      <c r="E55" s="53" t="n"/>
      <c r="F55" s="56" t="n"/>
      <c r="G55" s="57" t="n"/>
      <c r="H55" s="56" t="n"/>
      <c r="I55" s="58" t="str">
        <f>IF(B55="","",IFERROR(INDEX(art_poste,MATCH($B55,art_ref,0))&amp;"",""))</f>
        <v/>
      </c>
      <c r="J55" s="59" t="str">
        <f>IF(OR(B55="",G55="Annulé",N(D55)&lt;=0),"",IFERROR(ROUND(INDEX(art_setup,MATCH($B55,art_ref,0))+D55*INDEX(art_cycle,MATCH($B55,art_ref,0))/60,2),""))</f>
        <v/>
      </c>
      <c r="K55" s="60" t="str">
        <f>IF(J55="","",IFERROR(MAX(1,ROUNDUP(J55/INDEX(po_cap,MATCH(I55,po_code,0)),0)),""))</f>
        <v/>
      </c>
      <c r="L55" s="61">
        <f>IF(K55="",0,IF(N(H55)&gt;0,H55,WORKDAY.INTL(MAX(p_start-1,SUMPRODUCT(MAX(($I$6:$I54=$I55)*$M$6:$M54))),1,p_weekend,p_holidays)))</f>
        <v>0.0</v>
      </c>
      <c r="M55" s="61">
        <f>IF(K55="",0,WORKDAY.INTL(L55,K55-1,p_weekend,p_holidays))</f>
        <v>0.0</v>
      </c>
      <c r="N55" s="62" t="str">
        <f>IF(OR(M55=0,N(F55)=0,G55="Terminé"),"",F55-M55)</f>
        <v/>
      </c>
      <c r="O55" s="58" t="str">
        <f>IF(B55="","",IF(G55="Annulé","Annulé",IF(G55="Terminé","Terminé",IF(M55=0,"À compléter",IF(N(F55)=0,"Sans échéance",IF(M55&gt;F55,"En retard",IF(F55-M55&lt;=p_margin,"Juste","À l'heure")))))))</f>
        <v/>
      </c>
      <c r="P55" s="55" t="n"/>
      <c r="Q55" s="63" t="str">
        <f>IF(OR(B55="",N(D55)&lt;=0),"",MIN(1,N(P55)/D55))</f>
        <v/>
      </c>
      <c r="R55" s="64" t="str">
        <f>IF(OR(J55="",ISNA(MATCH(I55,po_code,0))),"",ROUND(J55*N(INDEX(po_rate,MATCH(I55,po_code,0))),2))</f>
        <v/>
      </c>
      <c r="S55" s="58" t="str">
        <f>IF(AND(A55="",B55=""),"",IF(B55="","Référence manquante",IF(ISNA(MATCH($B55,art_ref,0)),"Référence inconnue",IF(N(D55)&lt;=0,"Quantité invalide",IF(AND(A55&lt;&gt;"",COUNTIF(of_num,A55)&gt;1),"N° OF en double",IF(G55="Annulé","OK",IF(I55="","Poste manquant (gamme)",IF(ISNA(MATCH(I55,po_code,0)),"Poste inconnu",IF(K55="","Capacité du poste nulle",IF(AND(H55&lt;&gt;"",N(H55)=0),"Début imposé invalide",IF(AND(N(H55)&gt;0,WORKDAY.INTL(H55-1,1,p_weekend,p_holidays)&lt;&gt;H55),"Début un jour chômé",IF(AND(N(H55)&gt;0,H55&lt;=SUMPRODUCT(MAX(($I$6:$I54=$I55)*$M$6:$M54))),"Chevauche l'OF précédent",IF(N(F55)=0,"Date de besoin manquante","OK")))))))))))))</f>
        <v/>
      </c>
      <c r="T55" s="65" t="str">
        <f>IF(K55="","",J55/K55)</f>
        <v/>
      </c>
      <c r="U55" s="66" t="str">
        <f>IF(OR(O55="En retard",O55="Juste"),COUNTIF($O$6:O55,"En retard")+COUNTIF($O$6:O55,"Juste"),"")</f>
        <v/>
      </c>
    </row>
    <row r="56">
      <c r="A56" s="53" t="n"/>
      <c r="B56" s="53" t="n"/>
      <c r="C56" s="54" t="str">
        <f>IF(B56="","",IFERROR(INDEX(art_des,MATCH($B56,art_ref,0)),"Référence inconnue"))</f>
        <v/>
      </c>
      <c r="D56" s="55" t="n"/>
      <c r="E56" s="53" t="n"/>
      <c r="F56" s="56" t="n"/>
      <c r="G56" s="57" t="n"/>
      <c r="H56" s="56" t="n"/>
      <c r="I56" s="58" t="str">
        <f>IF(B56="","",IFERROR(INDEX(art_poste,MATCH($B56,art_ref,0))&amp;"",""))</f>
        <v/>
      </c>
      <c r="J56" s="59" t="str">
        <f>IF(OR(B56="",G56="Annulé",N(D56)&lt;=0),"",IFERROR(ROUND(INDEX(art_setup,MATCH($B56,art_ref,0))+D56*INDEX(art_cycle,MATCH($B56,art_ref,0))/60,2),""))</f>
        <v/>
      </c>
      <c r="K56" s="60" t="str">
        <f>IF(J56="","",IFERROR(MAX(1,ROUNDUP(J56/INDEX(po_cap,MATCH(I56,po_code,0)),0)),""))</f>
        <v/>
      </c>
      <c r="L56" s="61">
        <f>IF(K56="",0,IF(N(H56)&gt;0,H56,WORKDAY.INTL(MAX(p_start-1,SUMPRODUCT(MAX(($I$6:$I55=$I56)*$M$6:$M55))),1,p_weekend,p_holidays)))</f>
        <v>0.0</v>
      </c>
      <c r="M56" s="61">
        <f>IF(K56="",0,WORKDAY.INTL(L56,K56-1,p_weekend,p_holidays))</f>
        <v>0.0</v>
      </c>
      <c r="N56" s="62" t="str">
        <f>IF(OR(M56=0,N(F56)=0,G56="Terminé"),"",F56-M56)</f>
        <v/>
      </c>
      <c r="O56" s="58" t="str">
        <f>IF(B56="","",IF(G56="Annulé","Annulé",IF(G56="Terminé","Terminé",IF(M56=0,"À compléter",IF(N(F56)=0,"Sans échéance",IF(M56&gt;F56,"En retard",IF(F56-M56&lt;=p_margin,"Juste","À l'heure")))))))</f>
        <v/>
      </c>
      <c r="P56" s="55" t="n"/>
      <c r="Q56" s="63" t="str">
        <f>IF(OR(B56="",N(D56)&lt;=0),"",MIN(1,N(P56)/D56))</f>
        <v/>
      </c>
      <c r="R56" s="64" t="str">
        <f>IF(OR(J56="",ISNA(MATCH(I56,po_code,0))),"",ROUND(J56*N(INDEX(po_rate,MATCH(I56,po_code,0))),2))</f>
        <v/>
      </c>
      <c r="S56" s="58" t="str">
        <f>IF(AND(A56="",B56=""),"",IF(B56="","Référence manquante",IF(ISNA(MATCH($B56,art_ref,0)),"Référence inconnue",IF(N(D56)&lt;=0,"Quantité invalide",IF(AND(A56&lt;&gt;"",COUNTIF(of_num,A56)&gt;1),"N° OF en double",IF(G56="Annulé","OK",IF(I56="","Poste manquant (gamme)",IF(ISNA(MATCH(I56,po_code,0)),"Poste inconnu",IF(K56="","Capacité du poste nulle",IF(AND(H56&lt;&gt;"",N(H56)=0),"Début imposé invalide",IF(AND(N(H56)&gt;0,WORKDAY.INTL(H56-1,1,p_weekend,p_holidays)&lt;&gt;H56),"Début un jour chômé",IF(AND(N(H56)&gt;0,H56&lt;=SUMPRODUCT(MAX(($I$6:$I55=$I56)*$M$6:$M55))),"Chevauche l'OF précédent",IF(N(F56)=0,"Date de besoin manquante","OK")))))))))))))</f>
        <v/>
      </c>
      <c r="T56" s="65" t="str">
        <f>IF(K56="","",J56/K56)</f>
        <v/>
      </c>
      <c r="U56" s="66" t="str">
        <f>IF(OR(O56="En retard",O56="Juste"),COUNTIF($O$6:O56,"En retard")+COUNTIF($O$6:O56,"Juste"),"")</f>
        <v/>
      </c>
    </row>
    <row r="57">
      <c r="A57" s="53" t="n"/>
      <c r="B57" s="53" t="n"/>
      <c r="C57" s="54" t="str">
        <f>IF(B57="","",IFERROR(INDEX(art_des,MATCH($B57,art_ref,0)),"Référence inconnue"))</f>
        <v/>
      </c>
      <c r="D57" s="55" t="n"/>
      <c r="E57" s="53" t="n"/>
      <c r="F57" s="56" t="n"/>
      <c r="G57" s="57" t="n"/>
      <c r="H57" s="56" t="n"/>
      <c r="I57" s="58" t="str">
        <f>IF(B57="","",IFERROR(INDEX(art_poste,MATCH($B57,art_ref,0))&amp;"",""))</f>
        <v/>
      </c>
      <c r="J57" s="59" t="str">
        <f>IF(OR(B57="",G57="Annulé",N(D57)&lt;=0),"",IFERROR(ROUND(INDEX(art_setup,MATCH($B57,art_ref,0))+D57*INDEX(art_cycle,MATCH($B57,art_ref,0))/60,2),""))</f>
        <v/>
      </c>
      <c r="K57" s="60" t="str">
        <f>IF(J57="","",IFERROR(MAX(1,ROUNDUP(J57/INDEX(po_cap,MATCH(I57,po_code,0)),0)),""))</f>
        <v/>
      </c>
      <c r="L57" s="61">
        <f>IF(K57="",0,IF(N(H57)&gt;0,H57,WORKDAY.INTL(MAX(p_start-1,SUMPRODUCT(MAX(($I$6:$I56=$I57)*$M$6:$M56))),1,p_weekend,p_holidays)))</f>
        <v>0.0</v>
      </c>
      <c r="M57" s="61">
        <f>IF(K57="",0,WORKDAY.INTL(L57,K57-1,p_weekend,p_holidays))</f>
        <v>0.0</v>
      </c>
      <c r="N57" s="62" t="str">
        <f>IF(OR(M57=0,N(F57)=0,G57="Terminé"),"",F57-M57)</f>
        <v/>
      </c>
      <c r="O57" s="58" t="str">
        <f>IF(B57="","",IF(G57="Annulé","Annulé",IF(G57="Terminé","Terminé",IF(M57=0,"À compléter",IF(N(F57)=0,"Sans échéance",IF(M57&gt;F57,"En retard",IF(F57-M57&lt;=p_margin,"Juste","À l'heure")))))))</f>
        <v/>
      </c>
      <c r="P57" s="55" t="n"/>
      <c r="Q57" s="63" t="str">
        <f>IF(OR(B57="",N(D57)&lt;=0),"",MIN(1,N(P57)/D57))</f>
        <v/>
      </c>
      <c r="R57" s="64" t="str">
        <f>IF(OR(J57="",ISNA(MATCH(I57,po_code,0))),"",ROUND(J57*N(INDEX(po_rate,MATCH(I57,po_code,0))),2))</f>
        <v/>
      </c>
      <c r="S57" s="58" t="str">
        <f>IF(AND(A57="",B57=""),"",IF(B57="","Référence manquante",IF(ISNA(MATCH($B57,art_ref,0)),"Référence inconnue",IF(N(D57)&lt;=0,"Quantité invalide",IF(AND(A57&lt;&gt;"",COUNTIF(of_num,A57)&gt;1),"N° OF en double",IF(G57="Annulé","OK",IF(I57="","Poste manquant (gamme)",IF(ISNA(MATCH(I57,po_code,0)),"Poste inconnu",IF(K57="","Capacité du poste nulle",IF(AND(H57&lt;&gt;"",N(H57)=0),"Début imposé invalide",IF(AND(N(H57)&gt;0,WORKDAY.INTL(H57-1,1,p_weekend,p_holidays)&lt;&gt;H57),"Début un jour chômé",IF(AND(N(H57)&gt;0,H57&lt;=SUMPRODUCT(MAX(($I$6:$I56=$I57)*$M$6:$M56))),"Chevauche l'OF précédent",IF(N(F57)=0,"Date de besoin manquante","OK")))))))))))))</f>
        <v/>
      </c>
      <c r="T57" s="65" t="str">
        <f>IF(K57="","",J57/K57)</f>
        <v/>
      </c>
      <c r="U57" s="66" t="str">
        <f>IF(OR(O57="En retard",O57="Juste"),COUNTIF($O$6:O57,"En retard")+COUNTIF($O$6:O57,"Juste"),"")</f>
        <v/>
      </c>
    </row>
    <row r="58">
      <c r="A58" s="53" t="n"/>
      <c r="B58" s="53" t="n"/>
      <c r="C58" s="54" t="str">
        <f>IF(B58="","",IFERROR(INDEX(art_des,MATCH($B58,art_ref,0)),"Référence inconnue"))</f>
        <v/>
      </c>
      <c r="D58" s="55" t="n"/>
      <c r="E58" s="53" t="n"/>
      <c r="F58" s="56" t="n"/>
      <c r="G58" s="57" t="n"/>
      <c r="H58" s="56" t="n"/>
      <c r="I58" s="58" t="str">
        <f>IF(B58="","",IFERROR(INDEX(art_poste,MATCH($B58,art_ref,0))&amp;"",""))</f>
        <v/>
      </c>
      <c r="J58" s="59" t="str">
        <f>IF(OR(B58="",G58="Annulé",N(D58)&lt;=0),"",IFERROR(ROUND(INDEX(art_setup,MATCH($B58,art_ref,0))+D58*INDEX(art_cycle,MATCH($B58,art_ref,0))/60,2),""))</f>
        <v/>
      </c>
      <c r="K58" s="60" t="str">
        <f>IF(J58="","",IFERROR(MAX(1,ROUNDUP(J58/INDEX(po_cap,MATCH(I58,po_code,0)),0)),""))</f>
        <v/>
      </c>
      <c r="L58" s="61">
        <f>IF(K58="",0,IF(N(H58)&gt;0,H58,WORKDAY.INTL(MAX(p_start-1,SUMPRODUCT(MAX(($I$6:$I57=$I58)*$M$6:$M57))),1,p_weekend,p_holidays)))</f>
        <v>0.0</v>
      </c>
      <c r="M58" s="61">
        <f>IF(K58="",0,WORKDAY.INTL(L58,K58-1,p_weekend,p_holidays))</f>
        <v>0.0</v>
      </c>
      <c r="N58" s="62" t="str">
        <f>IF(OR(M58=0,N(F58)=0,G58="Terminé"),"",F58-M58)</f>
        <v/>
      </c>
      <c r="O58" s="58" t="str">
        <f>IF(B58="","",IF(G58="Annulé","Annulé",IF(G58="Terminé","Terminé",IF(M58=0,"À compléter",IF(N(F58)=0,"Sans échéance",IF(M58&gt;F58,"En retard",IF(F58-M58&lt;=p_margin,"Juste","À l'heure")))))))</f>
        <v/>
      </c>
      <c r="P58" s="55" t="n"/>
      <c r="Q58" s="63" t="str">
        <f>IF(OR(B58="",N(D58)&lt;=0),"",MIN(1,N(P58)/D58))</f>
        <v/>
      </c>
      <c r="R58" s="64" t="str">
        <f>IF(OR(J58="",ISNA(MATCH(I58,po_code,0))),"",ROUND(J58*N(INDEX(po_rate,MATCH(I58,po_code,0))),2))</f>
        <v/>
      </c>
      <c r="S58" s="58" t="str">
        <f>IF(AND(A58="",B58=""),"",IF(B58="","Référence manquante",IF(ISNA(MATCH($B58,art_ref,0)),"Référence inconnue",IF(N(D58)&lt;=0,"Quantité invalide",IF(AND(A58&lt;&gt;"",COUNTIF(of_num,A58)&gt;1),"N° OF en double",IF(G58="Annulé","OK",IF(I58="","Poste manquant (gamme)",IF(ISNA(MATCH(I58,po_code,0)),"Poste inconnu",IF(K58="","Capacité du poste nulle",IF(AND(H58&lt;&gt;"",N(H58)=0),"Début imposé invalide",IF(AND(N(H58)&gt;0,WORKDAY.INTL(H58-1,1,p_weekend,p_holidays)&lt;&gt;H58),"Début un jour chômé",IF(AND(N(H58)&gt;0,H58&lt;=SUMPRODUCT(MAX(($I$6:$I57=$I58)*$M$6:$M57))),"Chevauche l'OF précédent",IF(N(F58)=0,"Date de besoin manquante","OK")))))))))))))</f>
        <v/>
      </c>
      <c r="T58" s="65" t="str">
        <f>IF(K58="","",J58/K58)</f>
        <v/>
      </c>
      <c r="U58" s="66" t="str">
        <f>IF(OR(O58="En retard",O58="Juste"),COUNTIF($O$6:O58,"En retard")+COUNTIF($O$6:O58,"Juste"),"")</f>
        <v/>
      </c>
    </row>
    <row r="59">
      <c r="A59" s="53" t="n"/>
      <c r="B59" s="53" t="n"/>
      <c r="C59" s="54" t="str">
        <f>IF(B59="","",IFERROR(INDEX(art_des,MATCH($B59,art_ref,0)),"Référence inconnue"))</f>
        <v/>
      </c>
      <c r="D59" s="55" t="n"/>
      <c r="E59" s="53" t="n"/>
      <c r="F59" s="56" t="n"/>
      <c r="G59" s="57" t="n"/>
      <c r="H59" s="56" t="n"/>
      <c r="I59" s="58" t="str">
        <f>IF(B59="","",IFERROR(INDEX(art_poste,MATCH($B59,art_ref,0))&amp;"",""))</f>
        <v/>
      </c>
      <c r="J59" s="59" t="str">
        <f>IF(OR(B59="",G59="Annulé",N(D59)&lt;=0),"",IFERROR(ROUND(INDEX(art_setup,MATCH($B59,art_ref,0))+D59*INDEX(art_cycle,MATCH($B59,art_ref,0))/60,2),""))</f>
        <v/>
      </c>
      <c r="K59" s="60" t="str">
        <f>IF(J59="","",IFERROR(MAX(1,ROUNDUP(J59/INDEX(po_cap,MATCH(I59,po_code,0)),0)),""))</f>
        <v/>
      </c>
      <c r="L59" s="61">
        <f>IF(K59="",0,IF(N(H59)&gt;0,H59,WORKDAY.INTL(MAX(p_start-1,SUMPRODUCT(MAX(($I$6:$I58=$I59)*$M$6:$M58))),1,p_weekend,p_holidays)))</f>
        <v>0.0</v>
      </c>
      <c r="M59" s="61">
        <f>IF(K59="",0,WORKDAY.INTL(L59,K59-1,p_weekend,p_holidays))</f>
        <v>0.0</v>
      </c>
      <c r="N59" s="62" t="str">
        <f>IF(OR(M59=0,N(F59)=0,G59="Terminé"),"",F59-M59)</f>
        <v/>
      </c>
      <c r="O59" s="58" t="str">
        <f>IF(B59="","",IF(G59="Annulé","Annulé",IF(G59="Terminé","Terminé",IF(M59=0,"À compléter",IF(N(F59)=0,"Sans échéance",IF(M59&gt;F59,"En retard",IF(F59-M59&lt;=p_margin,"Juste","À l'heure")))))))</f>
        <v/>
      </c>
      <c r="P59" s="55" t="n"/>
      <c r="Q59" s="63" t="str">
        <f>IF(OR(B59="",N(D59)&lt;=0),"",MIN(1,N(P59)/D59))</f>
        <v/>
      </c>
      <c r="R59" s="64" t="str">
        <f>IF(OR(J59="",ISNA(MATCH(I59,po_code,0))),"",ROUND(J59*N(INDEX(po_rate,MATCH(I59,po_code,0))),2))</f>
        <v/>
      </c>
      <c r="S59" s="58" t="str">
        <f>IF(AND(A59="",B59=""),"",IF(B59="","Référence manquante",IF(ISNA(MATCH($B59,art_ref,0)),"Référence inconnue",IF(N(D59)&lt;=0,"Quantité invalide",IF(AND(A59&lt;&gt;"",COUNTIF(of_num,A59)&gt;1),"N° OF en double",IF(G59="Annulé","OK",IF(I59="","Poste manquant (gamme)",IF(ISNA(MATCH(I59,po_code,0)),"Poste inconnu",IF(K59="","Capacité du poste nulle",IF(AND(H59&lt;&gt;"",N(H59)=0),"Début imposé invalide",IF(AND(N(H59)&gt;0,WORKDAY.INTL(H59-1,1,p_weekend,p_holidays)&lt;&gt;H59),"Début un jour chômé",IF(AND(N(H59)&gt;0,H59&lt;=SUMPRODUCT(MAX(($I$6:$I58=$I59)*$M$6:$M58))),"Chevauche l'OF précédent",IF(N(F59)=0,"Date de besoin manquante","OK")))))))))))))</f>
        <v/>
      </c>
      <c r="T59" s="65" t="str">
        <f>IF(K59="","",J59/K59)</f>
        <v/>
      </c>
      <c r="U59" s="66" t="str">
        <f>IF(OR(O59="En retard",O59="Juste"),COUNTIF($O$6:O59,"En retard")+COUNTIF($O$6:O59,"Juste"),"")</f>
        <v/>
      </c>
    </row>
    <row r="60">
      <c r="A60" s="53" t="n"/>
      <c r="B60" s="53" t="n"/>
      <c r="C60" s="54" t="str">
        <f>IF(B60="","",IFERROR(INDEX(art_des,MATCH($B60,art_ref,0)),"Référence inconnue"))</f>
        <v/>
      </c>
      <c r="D60" s="55" t="n"/>
      <c r="E60" s="53" t="n"/>
      <c r="F60" s="56" t="n"/>
      <c r="G60" s="57" t="n"/>
      <c r="H60" s="56" t="n"/>
      <c r="I60" s="58" t="str">
        <f>IF(B60="","",IFERROR(INDEX(art_poste,MATCH($B60,art_ref,0))&amp;"",""))</f>
        <v/>
      </c>
      <c r="J60" s="59" t="str">
        <f>IF(OR(B60="",G60="Annulé",N(D60)&lt;=0),"",IFERROR(ROUND(INDEX(art_setup,MATCH($B60,art_ref,0))+D60*INDEX(art_cycle,MATCH($B60,art_ref,0))/60,2),""))</f>
        <v/>
      </c>
      <c r="K60" s="60" t="str">
        <f>IF(J60="","",IFERROR(MAX(1,ROUNDUP(J60/INDEX(po_cap,MATCH(I60,po_code,0)),0)),""))</f>
        <v/>
      </c>
      <c r="L60" s="61">
        <f>IF(K60="",0,IF(N(H60)&gt;0,H60,WORKDAY.INTL(MAX(p_start-1,SUMPRODUCT(MAX(($I$6:$I59=$I60)*$M$6:$M59))),1,p_weekend,p_holidays)))</f>
        <v>0.0</v>
      </c>
      <c r="M60" s="61">
        <f>IF(K60="",0,WORKDAY.INTL(L60,K60-1,p_weekend,p_holidays))</f>
        <v>0.0</v>
      </c>
      <c r="N60" s="62" t="str">
        <f>IF(OR(M60=0,N(F60)=0,G60="Terminé"),"",F60-M60)</f>
        <v/>
      </c>
      <c r="O60" s="58" t="str">
        <f>IF(B60="","",IF(G60="Annulé","Annulé",IF(G60="Terminé","Terminé",IF(M60=0,"À compléter",IF(N(F60)=0,"Sans échéance",IF(M60&gt;F60,"En retard",IF(F60-M60&lt;=p_margin,"Juste","À l'heure")))))))</f>
        <v/>
      </c>
      <c r="P60" s="55" t="n"/>
      <c r="Q60" s="63" t="str">
        <f>IF(OR(B60="",N(D60)&lt;=0),"",MIN(1,N(P60)/D60))</f>
        <v/>
      </c>
      <c r="R60" s="64" t="str">
        <f>IF(OR(J60="",ISNA(MATCH(I60,po_code,0))),"",ROUND(J60*N(INDEX(po_rate,MATCH(I60,po_code,0))),2))</f>
        <v/>
      </c>
      <c r="S60" s="58" t="str">
        <f>IF(AND(A60="",B60=""),"",IF(B60="","Référence manquante",IF(ISNA(MATCH($B60,art_ref,0)),"Référence inconnue",IF(N(D60)&lt;=0,"Quantité invalide",IF(AND(A60&lt;&gt;"",COUNTIF(of_num,A60)&gt;1),"N° OF en double",IF(G60="Annulé","OK",IF(I60="","Poste manquant (gamme)",IF(ISNA(MATCH(I60,po_code,0)),"Poste inconnu",IF(K60="","Capacité du poste nulle",IF(AND(H60&lt;&gt;"",N(H60)=0),"Début imposé invalide",IF(AND(N(H60)&gt;0,WORKDAY.INTL(H60-1,1,p_weekend,p_holidays)&lt;&gt;H60),"Début un jour chômé",IF(AND(N(H60)&gt;0,H60&lt;=SUMPRODUCT(MAX(($I$6:$I59=$I60)*$M$6:$M59))),"Chevauche l'OF précédent",IF(N(F60)=0,"Date de besoin manquante","OK")))))))))))))</f>
        <v/>
      </c>
      <c r="T60" s="65" t="str">
        <f>IF(K60="","",J60/K60)</f>
        <v/>
      </c>
      <c r="U60" s="66" t="str">
        <f>IF(OR(O60="En retard",O60="Juste"),COUNTIF($O$6:O60,"En retard")+COUNTIF($O$6:O60,"Juste"),"")</f>
        <v/>
      </c>
    </row>
    <row r="61">
      <c r="A61" s="53" t="n"/>
      <c r="B61" s="53" t="n"/>
      <c r="C61" s="54" t="str">
        <f>IF(B61="","",IFERROR(INDEX(art_des,MATCH($B61,art_ref,0)),"Référence inconnue"))</f>
        <v/>
      </c>
      <c r="D61" s="55" t="n"/>
      <c r="E61" s="53" t="n"/>
      <c r="F61" s="56" t="n"/>
      <c r="G61" s="57" t="n"/>
      <c r="H61" s="56" t="n"/>
      <c r="I61" s="58" t="str">
        <f>IF(B61="","",IFERROR(INDEX(art_poste,MATCH($B61,art_ref,0))&amp;"",""))</f>
        <v/>
      </c>
      <c r="J61" s="59" t="str">
        <f>IF(OR(B61="",G61="Annulé",N(D61)&lt;=0),"",IFERROR(ROUND(INDEX(art_setup,MATCH($B61,art_ref,0))+D61*INDEX(art_cycle,MATCH($B61,art_ref,0))/60,2),""))</f>
        <v/>
      </c>
      <c r="K61" s="60" t="str">
        <f>IF(J61="","",IFERROR(MAX(1,ROUNDUP(J61/INDEX(po_cap,MATCH(I61,po_code,0)),0)),""))</f>
        <v/>
      </c>
      <c r="L61" s="61">
        <f>IF(K61="",0,IF(N(H61)&gt;0,H61,WORKDAY.INTL(MAX(p_start-1,SUMPRODUCT(MAX(($I$6:$I60=$I61)*$M$6:$M60))),1,p_weekend,p_holidays)))</f>
        <v>0.0</v>
      </c>
      <c r="M61" s="61">
        <f>IF(K61="",0,WORKDAY.INTL(L61,K61-1,p_weekend,p_holidays))</f>
        <v>0.0</v>
      </c>
      <c r="N61" s="62" t="str">
        <f>IF(OR(M61=0,N(F61)=0,G61="Terminé"),"",F61-M61)</f>
        <v/>
      </c>
      <c r="O61" s="58" t="str">
        <f>IF(B61="","",IF(G61="Annulé","Annulé",IF(G61="Terminé","Terminé",IF(M61=0,"À compléter",IF(N(F61)=0,"Sans échéance",IF(M61&gt;F61,"En retard",IF(F61-M61&lt;=p_margin,"Juste","À l'heure")))))))</f>
        <v/>
      </c>
      <c r="P61" s="55" t="n"/>
      <c r="Q61" s="63" t="str">
        <f>IF(OR(B61="",N(D61)&lt;=0),"",MIN(1,N(P61)/D61))</f>
        <v/>
      </c>
      <c r="R61" s="64" t="str">
        <f>IF(OR(J61="",ISNA(MATCH(I61,po_code,0))),"",ROUND(J61*N(INDEX(po_rate,MATCH(I61,po_code,0))),2))</f>
        <v/>
      </c>
      <c r="S61" s="58" t="str">
        <f>IF(AND(A61="",B61=""),"",IF(B61="","Référence manquante",IF(ISNA(MATCH($B61,art_ref,0)),"Référence inconnue",IF(N(D61)&lt;=0,"Quantité invalide",IF(AND(A61&lt;&gt;"",COUNTIF(of_num,A61)&gt;1),"N° OF en double",IF(G61="Annulé","OK",IF(I61="","Poste manquant (gamme)",IF(ISNA(MATCH(I61,po_code,0)),"Poste inconnu",IF(K61="","Capacité du poste nulle",IF(AND(H61&lt;&gt;"",N(H61)=0),"Début imposé invalide",IF(AND(N(H61)&gt;0,WORKDAY.INTL(H61-1,1,p_weekend,p_holidays)&lt;&gt;H61),"Début un jour chômé",IF(AND(N(H61)&gt;0,H61&lt;=SUMPRODUCT(MAX(($I$6:$I60=$I61)*$M$6:$M60))),"Chevauche l'OF précédent",IF(N(F61)=0,"Date de besoin manquante","OK")))))))))))))</f>
        <v/>
      </c>
      <c r="T61" s="65" t="str">
        <f>IF(K61="","",J61/K61)</f>
        <v/>
      </c>
      <c r="U61" s="66" t="str">
        <f>IF(OR(O61="En retard",O61="Juste"),COUNTIF($O$6:O61,"En retard")+COUNTIF($O$6:O61,"Juste"),"")</f>
        <v/>
      </c>
    </row>
    <row r="62">
      <c r="A62" s="53" t="n"/>
      <c r="B62" s="53" t="n"/>
      <c r="C62" s="54" t="str">
        <f>IF(B62="","",IFERROR(INDEX(art_des,MATCH($B62,art_ref,0)),"Référence inconnue"))</f>
        <v/>
      </c>
      <c r="D62" s="55" t="n"/>
      <c r="E62" s="53" t="n"/>
      <c r="F62" s="56" t="n"/>
      <c r="G62" s="57" t="n"/>
      <c r="H62" s="56" t="n"/>
      <c r="I62" s="58" t="str">
        <f>IF(B62="","",IFERROR(INDEX(art_poste,MATCH($B62,art_ref,0))&amp;"",""))</f>
        <v/>
      </c>
      <c r="J62" s="59" t="str">
        <f>IF(OR(B62="",G62="Annulé",N(D62)&lt;=0),"",IFERROR(ROUND(INDEX(art_setup,MATCH($B62,art_ref,0))+D62*INDEX(art_cycle,MATCH($B62,art_ref,0))/60,2),""))</f>
        <v/>
      </c>
      <c r="K62" s="60" t="str">
        <f>IF(J62="","",IFERROR(MAX(1,ROUNDUP(J62/INDEX(po_cap,MATCH(I62,po_code,0)),0)),""))</f>
        <v/>
      </c>
      <c r="L62" s="61">
        <f>IF(K62="",0,IF(N(H62)&gt;0,H62,WORKDAY.INTL(MAX(p_start-1,SUMPRODUCT(MAX(($I$6:$I61=$I62)*$M$6:$M61))),1,p_weekend,p_holidays)))</f>
        <v>0.0</v>
      </c>
      <c r="M62" s="61">
        <f>IF(K62="",0,WORKDAY.INTL(L62,K62-1,p_weekend,p_holidays))</f>
        <v>0.0</v>
      </c>
      <c r="N62" s="62" t="str">
        <f>IF(OR(M62=0,N(F62)=0,G62="Terminé"),"",F62-M62)</f>
        <v/>
      </c>
      <c r="O62" s="58" t="str">
        <f>IF(B62="","",IF(G62="Annulé","Annulé",IF(G62="Terminé","Terminé",IF(M62=0,"À compléter",IF(N(F62)=0,"Sans échéance",IF(M62&gt;F62,"En retard",IF(F62-M62&lt;=p_margin,"Juste","À l'heure")))))))</f>
        <v/>
      </c>
      <c r="P62" s="55" t="n"/>
      <c r="Q62" s="63" t="str">
        <f>IF(OR(B62="",N(D62)&lt;=0),"",MIN(1,N(P62)/D62))</f>
        <v/>
      </c>
      <c r="R62" s="64" t="str">
        <f>IF(OR(J62="",ISNA(MATCH(I62,po_code,0))),"",ROUND(J62*N(INDEX(po_rate,MATCH(I62,po_code,0))),2))</f>
        <v/>
      </c>
      <c r="S62" s="58" t="str">
        <f>IF(AND(A62="",B62=""),"",IF(B62="","Référence manquante",IF(ISNA(MATCH($B62,art_ref,0)),"Référence inconnue",IF(N(D62)&lt;=0,"Quantité invalide",IF(AND(A62&lt;&gt;"",COUNTIF(of_num,A62)&gt;1),"N° OF en double",IF(G62="Annulé","OK",IF(I62="","Poste manquant (gamme)",IF(ISNA(MATCH(I62,po_code,0)),"Poste inconnu",IF(K62="","Capacité du poste nulle",IF(AND(H62&lt;&gt;"",N(H62)=0),"Début imposé invalide",IF(AND(N(H62)&gt;0,WORKDAY.INTL(H62-1,1,p_weekend,p_holidays)&lt;&gt;H62),"Début un jour chômé",IF(AND(N(H62)&gt;0,H62&lt;=SUMPRODUCT(MAX(($I$6:$I61=$I62)*$M$6:$M61))),"Chevauche l'OF précédent",IF(N(F62)=0,"Date de besoin manquante","OK")))))))))))))</f>
        <v/>
      </c>
      <c r="T62" s="65" t="str">
        <f>IF(K62="","",J62/K62)</f>
        <v/>
      </c>
      <c r="U62" s="66" t="str">
        <f>IF(OR(O62="En retard",O62="Juste"),COUNTIF($O$6:O62,"En retard")+COUNTIF($O$6:O62,"Juste"),"")</f>
        <v/>
      </c>
    </row>
    <row r="63">
      <c r="A63" s="53" t="n"/>
      <c r="B63" s="53" t="n"/>
      <c r="C63" s="54" t="str">
        <f>IF(B63="","",IFERROR(INDEX(art_des,MATCH($B63,art_ref,0)),"Référence inconnue"))</f>
        <v/>
      </c>
      <c r="D63" s="55" t="n"/>
      <c r="E63" s="53" t="n"/>
      <c r="F63" s="56" t="n"/>
      <c r="G63" s="57" t="n"/>
      <c r="H63" s="56" t="n"/>
      <c r="I63" s="58" t="str">
        <f>IF(B63="","",IFERROR(INDEX(art_poste,MATCH($B63,art_ref,0))&amp;"",""))</f>
        <v/>
      </c>
      <c r="J63" s="59" t="str">
        <f>IF(OR(B63="",G63="Annulé",N(D63)&lt;=0),"",IFERROR(ROUND(INDEX(art_setup,MATCH($B63,art_ref,0))+D63*INDEX(art_cycle,MATCH($B63,art_ref,0))/60,2),""))</f>
        <v/>
      </c>
      <c r="K63" s="60" t="str">
        <f>IF(J63="","",IFERROR(MAX(1,ROUNDUP(J63/INDEX(po_cap,MATCH(I63,po_code,0)),0)),""))</f>
        <v/>
      </c>
      <c r="L63" s="61">
        <f>IF(K63="",0,IF(N(H63)&gt;0,H63,WORKDAY.INTL(MAX(p_start-1,SUMPRODUCT(MAX(($I$6:$I62=$I63)*$M$6:$M62))),1,p_weekend,p_holidays)))</f>
        <v>0.0</v>
      </c>
      <c r="M63" s="61">
        <f>IF(K63="",0,WORKDAY.INTL(L63,K63-1,p_weekend,p_holidays))</f>
        <v>0.0</v>
      </c>
      <c r="N63" s="62" t="str">
        <f>IF(OR(M63=0,N(F63)=0,G63="Terminé"),"",F63-M63)</f>
        <v/>
      </c>
      <c r="O63" s="58" t="str">
        <f>IF(B63="","",IF(G63="Annulé","Annulé",IF(G63="Terminé","Terminé",IF(M63=0,"À compléter",IF(N(F63)=0,"Sans échéance",IF(M63&gt;F63,"En retard",IF(F63-M63&lt;=p_margin,"Juste","À l'heure")))))))</f>
        <v/>
      </c>
      <c r="P63" s="55" t="n"/>
      <c r="Q63" s="63" t="str">
        <f>IF(OR(B63="",N(D63)&lt;=0),"",MIN(1,N(P63)/D63))</f>
        <v/>
      </c>
      <c r="R63" s="64" t="str">
        <f>IF(OR(J63="",ISNA(MATCH(I63,po_code,0))),"",ROUND(J63*N(INDEX(po_rate,MATCH(I63,po_code,0))),2))</f>
        <v/>
      </c>
      <c r="S63" s="58" t="str">
        <f>IF(AND(A63="",B63=""),"",IF(B63="","Référence manquante",IF(ISNA(MATCH($B63,art_ref,0)),"Référence inconnue",IF(N(D63)&lt;=0,"Quantité invalide",IF(AND(A63&lt;&gt;"",COUNTIF(of_num,A63)&gt;1),"N° OF en double",IF(G63="Annulé","OK",IF(I63="","Poste manquant (gamme)",IF(ISNA(MATCH(I63,po_code,0)),"Poste inconnu",IF(K63="","Capacité du poste nulle",IF(AND(H63&lt;&gt;"",N(H63)=0),"Début imposé invalide",IF(AND(N(H63)&gt;0,WORKDAY.INTL(H63-1,1,p_weekend,p_holidays)&lt;&gt;H63),"Début un jour chômé",IF(AND(N(H63)&gt;0,H63&lt;=SUMPRODUCT(MAX(($I$6:$I62=$I63)*$M$6:$M62))),"Chevauche l'OF précédent",IF(N(F63)=0,"Date de besoin manquante","OK")))))))))))))</f>
        <v/>
      </c>
      <c r="T63" s="65" t="str">
        <f>IF(K63="","",J63/K63)</f>
        <v/>
      </c>
      <c r="U63" s="66" t="str">
        <f>IF(OR(O63="En retard",O63="Juste"),COUNTIF($O$6:O63,"En retard")+COUNTIF($O$6:O63,"Juste"),"")</f>
        <v/>
      </c>
    </row>
    <row r="64">
      <c r="A64" s="53" t="n"/>
      <c r="B64" s="53" t="n"/>
      <c r="C64" s="54" t="str">
        <f>IF(B64="","",IFERROR(INDEX(art_des,MATCH($B64,art_ref,0)),"Référence inconnue"))</f>
        <v/>
      </c>
      <c r="D64" s="55" t="n"/>
      <c r="E64" s="53" t="n"/>
      <c r="F64" s="56" t="n"/>
      <c r="G64" s="57" t="n"/>
      <c r="H64" s="56" t="n"/>
      <c r="I64" s="58" t="str">
        <f>IF(B64="","",IFERROR(INDEX(art_poste,MATCH($B64,art_ref,0))&amp;"",""))</f>
        <v/>
      </c>
      <c r="J64" s="59" t="str">
        <f>IF(OR(B64="",G64="Annulé",N(D64)&lt;=0),"",IFERROR(ROUND(INDEX(art_setup,MATCH($B64,art_ref,0))+D64*INDEX(art_cycle,MATCH($B64,art_ref,0))/60,2),""))</f>
        <v/>
      </c>
      <c r="K64" s="60" t="str">
        <f>IF(J64="","",IFERROR(MAX(1,ROUNDUP(J64/INDEX(po_cap,MATCH(I64,po_code,0)),0)),""))</f>
        <v/>
      </c>
      <c r="L64" s="61">
        <f>IF(K64="",0,IF(N(H64)&gt;0,H64,WORKDAY.INTL(MAX(p_start-1,SUMPRODUCT(MAX(($I$6:$I63=$I64)*$M$6:$M63))),1,p_weekend,p_holidays)))</f>
        <v>0.0</v>
      </c>
      <c r="M64" s="61">
        <f>IF(K64="",0,WORKDAY.INTL(L64,K64-1,p_weekend,p_holidays))</f>
        <v>0.0</v>
      </c>
      <c r="N64" s="62" t="str">
        <f>IF(OR(M64=0,N(F64)=0,G64="Terminé"),"",F64-M64)</f>
        <v/>
      </c>
      <c r="O64" s="58" t="str">
        <f>IF(B64="","",IF(G64="Annulé","Annulé",IF(G64="Terminé","Terminé",IF(M64=0,"À compléter",IF(N(F64)=0,"Sans échéance",IF(M64&gt;F64,"En retard",IF(F64-M64&lt;=p_margin,"Juste","À l'heure")))))))</f>
        <v/>
      </c>
      <c r="P64" s="55" t="n"/>
      <c r="Q64" s="63" t="str">
        <f>IF(OR(B64="",N(D64)&lt;=0),"",MIN(1,N(P64)/D64))</f>
        <v/>
      </c>
      <c r="R64" s="64" t="str">
        <f>IF(OR(J64="",ISNA(MATCH(I64,po_code,0))),"",ROUND(J64*N(INDEX(po_rate,MATCH(I64,po_code,0))),2))</f>
        <v/>
      </c>
      <c r="S64" s="58" t="str">
        <f>IF(AND(A64="",B64=""),"",IF(B64="","Référence manquante",IF(ISNA(MATCH($B64,art_ref,0)),"Référence inconnue",IF(N(D64)&lt;=0,"Quantité invalide",IF(AND(A64&lt;&gt;"",COUNTIF(of_num,A64)&gt;1),"N° OF en double",IF(G64="Annulé","OK",IF(I64="","Poste manquant (gamme)",IF(ISNA(MATCH(I64,po_code,0)),"Poste inconnu",IF(K64="","Capacité du poste nulle",IF(AND(H64&lt;&gt;"",N(H64)=0),"Début imposé invalide",IF(AND(N(H64)&gt;0,WORKDAY.INTL(H64-1,1,p_weekend,p_holidays)&lt;&gt;H64),"Début un jour chômé",IF(AND(N(H64)&gt;0,H64&lt;=SUMPRODUCT(MAX(($I$6:$I63=$I64)*$M$6:$M63))),"Chevauche l'OF précédent",IF(N(F64)=0,"Date de besoin manquante","OK")))))))))))))</f>
        <v/>
      </c>
      <c r="T64" s="65" t="str">
        <f>IF(K64="","",J64/K64)</f>
        <v/>
      </c>
      <c r="U64" s="66" t="str">
        <f>IF(OR(O64="En retard",O64="Juste"),COUNTIF($O$6:O64,"En retard")+COUNTIF($O$6:O64,"Juste"),"")</f>
        <v/>
      </c>
    </row>
    <row r="65">
      <c r="A65" s="53" t="n"/>
      <c r="B65" s="53" t="n"/>
      <c r="C65" s="54" t="str">
        <f>IF(B65="","",IFERROR(INDEX(art_des,MATCH($B65,art_ref,0)),"Référence inconnue"))</f>
        <v/>
      </c>
      <c r="D65" s="55" t="n"/>
      <c r="E65" s="53" t="n"/>
      <c r="F65" s="56" t="n"/>
      <c r="G65" s="57" t="n"/>
      <c r="H65" s="56" t="n"/>
      <c r="I65" s="58" t="str">
        <f>IF(B65="","",IFERROR(INDEX(art_poste,MATCH($B65,art_ref,0))&amp;"",""))</f>
        <v/>
      </c>
      <c r="J65" s="59" t="str">
        <f>IF(OR(B65="",G65="Annulé",N(D65)&lt;=0),"",IFERROR(ROUND(INDEX(art_setup,MATCH($B65,art_ref,0))+D65*INDEX(art_cycle,MATCH($B65,art_ref,0))/60,2),""))</f>
        <v/>
      </c>
      <c r="K65" s="60" t="str">
        <f>IF(J65="","",IFERROR(MAX(1,ROUNDUP(J65/INDEX(po_cap,MATCH(I65,po_code,0)),0)),""))</f>
        <v/>
      </c>
      <c r="L65" s="61">
        <f>IF(K65="",0,IF(N(H65)&gt;0,H65,WORKDAY.INTL(MAX(p_start-1,SUMPRODUCT(MAX(($I$6:$I64=$I65)*$M$6:$M64))),1,p_weekend,p_holidays)))</f>
        <v>0.0</v>
      </c>
      <c r="M65" s="61">
        <f>IF(K65="",0,WORKDAY.INTL(L65,K65-1,p_weekend,p_holidays))</f>
        <v>0.0</v>
      </c>
      <c r="N65" s="62" t="str">
        <f>IF(OR(M65=0,N(F65)=0,G65="Terminé"),"",F65-M65)</f>
        <v/>
      </c>
      <c r="O65" s="58" t="str">
        <f>IF(B65="","",IF(G65="Annulé","Annulé",IF(G65="Terminé","Terminé",IF(M65=0,"À compléter",IF(N(F65)=0,"Sans échéance",IF(M65&gt;F65,"En retard",IF(F65-M65&lt;=p_margin,"Juste","À l'heure")))))))</f>
        <v/>
      </c>
      <c r="P65" s="55" t="n"/>
      <c r="Q65" s="63" t="str">
        <f>IF(OR(B65="",N(D65)&lt;=0),"",MIN(1,N(P65)/D65))</f>
        <v/>
      </c>
      <c r="R65" s="64" t="str">
        <f>IF(OR(J65="",ISNA(MATCH(I65,po_code,0))),"",ROUND(J65*N(INDEX(po_rate,MATCH(I65,po_code,0))),2))</f>
        <v/>
      </c>
      <c r="S65" s="58" t="str">
        <f>IF(AND(A65="",B65=""),"",IF(B65="","Référence manquante",IF(ISNA(MATCH($B65,art_ref,0)),"Référence inconnue",IF(N(D65)&lt;=0,"Quantité invalide",IF(AND(A65&lt;&gt;"",COUNTIF(of_num,A65)&gt;1),"N° OF en double",IF(G65="Annulé","OK",IF(I65="","Poste manquant (gamme)",IF(ISNA(MATCH(I65,po_code,0)),"Poste inconnu",IF(K65="","Capacité du poste nulle",IF(AND(H65&lt;&gt;"",N(H65)=0),"Début imposé invalide",IF(AND(N(H65)&gt;0,WORKDAY.INTL(H65-1,1,p_weekend,p_holidays)&lt;&gt;H65),"Début un jour chômé",IF(AND(N(H65)&gt;0,H65&lt;=SUMPRODUCT(MAX(($I$6:$I64=$I65)*$M$6:$M64))),"Chevauche l'OF précédent",IF(N(F65)=0,"Date de besoin manquante","OK")))))))))))))</f>
        <v/>
      </c>
      <c r="T65" s="65" t="str">
        <f>IF(K65="","",J65/K65)</f>
        <v/>
      </c>
      <c r="U65" s="66" t="str">
        <f>IF(OR(O65="En retard",O65="Juste"),COUNTIF($O$6:O65,"En retard")+COUNTIF($O$6:O65,"Juste"),"")</f>
        <v/>
      </c>
    </row>
    <row r="66">
      <c r="A66" s="53" t="n"/>
      <c r="B66" s="53" t="n"/>
      <c r="C66" s="54" t="str">
        <f>IF(B66="","",IFERROR(INDEX(art_des,MATCH($B66,art_ref,0)),"Référence inconnue"))</f>
        <v/>
      </c>
      <c r="D66" s="55" t="n"/>
      <c r="E66" s="53" t="n"/>
      <c r="F66" s="56" t="n"/>
      <c r="G66" s="57" t="n"/>
      <c r="H66" s="56" t="n"/>
      <c r="I66" s="58" t="str">
        <f>IF(B66="","",IFERROR(INDEX(art_poste,MATCH($B66,art_ref,0))&amp;"",""))</f>
        <v/>
      </c>
      <c r="J66" s="59" t="str">
        <f>IF(OR(B66="",G66="Annulé",N(D66)&lt;=0),"",IFERROR(ROUND(INDEX(art_setup,MATCH($B66,art_ref,0))+D66*INDEX(art_cycle,MATCH($B66,art_ref,0))/60,2),""))</f>
        <v/>
      </c>
      <c r="K66" s="60" t="str">
        <f>IF(J66="","",IFERROR(MAX(1,ROUNDUP(J66/INDEX(po_cap,MATCH(I66,po_code,0)),0)),""))</f>
        <v/>
      </c>
      <c r="L66" s="61">
        <f>IF(K66="",0,IF(N(H66)&gt;0,H66,WORKDAY.INTL(MAX(p_start-1,SUMPRODUCT(MAX(($I$6:$I65=$I66)*$M$6:$M65))),1,p_weekend,p_holidays)))</f>
        <v>0.0</v>
      </c>
      <c r="M66" s="61">
        <f>IF(K66="",0,WORKDAY.INTL(L66,K66-1,p_weekend,p_holidays))</f>
        <v>0.0</v>
      </c>
      <c r="N66" s="62" t="str">
        <f>IF(OR(M66=0,N(F66)=0,G66="Terminé"),"",F66-M66)</f>
        <v/>
      </c>
      <c r="O66" s="58" t="str">
        <f>IF(B66="","",IF(G66="Annulé","Annulé",IF(G66="Terminé","Terminé",IF(M66=0,"À compléter",IF(N(F66)=0,"Sans échéance",IF(M66&gt;F66,"En retard",IF(F66-M66&lt;=p_margin,"Juste","À l'heure")))))))</f>
        <v/>
      </c>
      <c r="P66" s="55" t="n"/>
      <c r="Q66" s="63" t="str">
        <f>IF(OR(B66="",N(D66)&lt;=0),"",MIN(1,N(P66)/D66))</f>
        <v/>
      </c>
      <c r="R66" s="64" t="str">
        <f>IF(OR(J66="",ISNA(MATCH(I66,po_code,0))),"",ROUND(J66*N(INDEX(po_rate,MATCH(I66,po_code,0))),2))</f>
        <v/>
      </c>
      <c r="S66" s="58" t="str">
        <f>IF(AND(A66="",B66=""),"",IF(B66="","Référence manquante",IF(ISNA(MATCH($B66,art_ref,0)),"Référence inconnue",IF(N(D66)&lt;=0,"Quantité invalide",IF(AND(A66&lt;&gt;"",COUNTIF(of_num,A66)&gt;1),"N° OF en double",IF(G66="Annulé","OK",IF(I66="","Poste manquant (gamme)",IF(ISNA(MATCH(I66,po_code,0)),"Poste inconnu",IF(K66="","Capacité du poste nulle",IF(AND(H66&lt;&gt;"",N(H66)=0),"Début imposé invalide",IF(AND(N(H66)&gt;0,WORKDAY.INTL(H66-1,1,p_weekend,p_holidays)&lt;&gt;H66),"Début un jour chômé",IF(AND(N(H66)&gt;0,H66&lt;=SUMPRODUCT(MAX(($I$6:$I65=$I66)*$M$6:$M65))),"Chevauche l'OF précédent",IF(N(F66)=0,"Date de besoin manquante","OK")))))))))))))</f>
        <v/>
      </c>
      <c r="T66" s="65" t="str">
        <f>IF(K66="","",J66/K66)</f>
        <v/>
      </c>
      <c r="U66" s="66" t="str">
        <f>IF(OR(O66="En retard",O66="Juste"),COUNTIF($O$6:O66,"En retard")+COUNTIF($O$6:O66,"Juste"),"")</f>
        <v/>
      </c>
    </row>
    <row r="67">
      <c r="A67" s="53" t="n"/>
      <c r="B67" s="53" t="n"/>
      <c r="C67" s="54" t="str">
        <f>IF(B67="","",IFERROR(INDEX(art_des,MATCH($B67,art_ref,0)),"Référence inconnue"))</f>
        <v/>
      </c>
      <c r="D67" s="55" t="n"/>
      <c r="E67" s="53" t="n"/>
      <c r="F67" s="56" t="n"/>
      <c r="G67" s="57" t="n"/>
      <c r="H67" s="56" t="n"/>
      <c r="I67" s="58" t="str">
        <f>IF(B67="","",IFERROR(INDEX(art_poste,MATCH($B67,art_ref,0))&amp;"",""))</f>
        <v/>
      </c>
      <c r="J67" s="59" t="str">
        <f>IF(OR(B67="",G67="Annulé",N(D67)&lt;=0),"",IFERROR(ROUND(INDEX(art_setup,MATCH($B67,art_ref,0))+D67*INDEX(art_cycle,MATCH($B67,art_ref,0))/60,2),""))</f>
        <v/>
      </c>
      <c r="K67" s="60" t="str">
        <f>IF(J67="","",IFERROR(MAX(1,ROUNDUP(J67/INDEX(po_cap,MATCH(I67,po_code,0)),0)),""))</f>
        <v/>
      </c>
      <c r="L67" s="61">
        <f>IF(K67="",0,IF(N(H67)&gt;0,H67,WORKDAY.INTL(MAX(p_start-1,SUMPRODUCT(MAX(($I$6:$I66=$I67)*$M$6:$M66))),1,p_weekend,p_holidays)))</f>
        <v>0.0</v>
      </c>
      <c r="M67" s="61">
        <f>IF(K67="",0,WORKDAY.INTL(L67,K67-1,p_weekend,p_holidays))</f>
        <v>0.0</v>
      </c>
      <c r="N67" s="62" t="str">
        <f>IF(OR(M67=0,N(F67)=0,G67="Terminé"),"",F67-M67)</f>
        <v/>
      </c>
      <c r="O67" s="58" t="str">
        <f>IF(B67="","",IF(G67="Annulé","Annulé",IF(G67="Terminé","Terminé",IF(M67=0,"À compléter",IF(N(F67)=0,"Sans échéance",IF(M67&gt;F67,"En retard",IF(F67-M67&lt;=p_margin,"Juste","À l'heure")))))))</f>
        <v/>
      </c>
      <c r="P67" s="55" t="n"/>
      <c r="Q67" s="63" t="str">
        <f>IF(OR(B67="",N(D67)&lt;=0),"",MIN(1,N(P67)/D67))</f>
        <v/>
      </c>
      <c r="R67" s="64" t="str">
        <f>IF(OR(J67="",ISNA(MATCH(I67,po_code,0))),"",ROUND(J67*N(INDEX(po_rate,MATCH(I67,po_code,0))),2))</f>
        <v/>
      </c>
      <c r="S67" s="58" t="str">
        <f>IF(AND(A67="",B67=""),"",IF(B67="","Référence manquante",IF(ISNA(MATCH($B67,art_ref,0)),"Référence inconnue",IF(N(D67)&lt;=0,"Quantité invalide",IF(AND(A67&lt;&gt;"",COUNTIF(of_num,A67)&gt;1),"N° OF en double",IF(G67="Annulé","OK",IF(I67="","Poste manquant (gamme)",IF(ISNA(MATCH(I67,po_code,0)),"Poste inconnu",IF(K67="","Capacité du poste nulle",IF(AND(H67&lt;&gt;"",N(H67)=0),"Début imposé invalide",IF(AND(N(H67)&gt;0,WORKDAY.INTL(H67-1,1,p_weekend,p_holidays)&lt;&gt;H67),"Début un jour chômé",IF(AND(N(H67)&gt;0,H67&lt;=SUMPRODUCT(MAX(($I$6:$I66=$I67)*$M$6:$M66))),"Chevauche l'OF précédent",IF(N(F67)=0,"Date de besoin manquante","OK")))))))))))))</f>
        <v/>
      </c>
      <c r="T67" s="65" t="str">
        <f>IF(K67="","",J67/K67)</f>
        <v/>
      </c>
      <c r="U67" s="66" t="str">
        <f>IF(OR(O67="En retard",O67="Juste"),COUNTIF($O$6:O67,"En retard")+COUNTIF($O$6:O67,"Juste"),"")</f>
        <v/>
      </c>
    </row>
    <row r="68">
      <c r="A68" s="53" t="n"/>
      <c r="B68" s="53" t="n"/>
      <c r="C68" s="54" t="str">
        <f>IF(B68="","",IFERROR(INDEX(art_des,MATCH($B68,art_ref,0)),"Référence inconnue"))</f>
        <v/>
      </c>
      <c r="D68" s="55" t="n"/>
      <c r="E68" s="53" t="n"/>
      <c r="F68" s="56" t="n"/>
      <c r="G68" s="57" t="n"/>
      <c r="H68" s="56" t="n"/>
      <c r="I68" s="58" t="str">
        <f>IF(B68="","",IFERROR(INDEX(art_poste,MATCH($B68,art_ref,0))&amp;"",""))</f>
        <v/>
      </c>
      <c r="J68" s="59" t="str">
        <f>IF(OR(B68="",G68="Annulé",N(D68)&lt;=0),"",IFERROR(ROUND(INDEX(art_setup,MATCH($B68,art_ref,0))+D68*INDEX(art_cycle,MATCH($B68,art_ref,0))/60,2),""))</f>
        <v/>
      </c>
      <c r="K68" s="60" t="str">
        <f>IF(J68="","",IFERROR(MAX(1,ROUNDUP(J68/INDEX(po_cap,MATCH(I68,po_code,0)),0)),""))</f>
        <v/>
      </c>
      <c r="L68" s="61">
        <f>IF(K68="",0,IF(N(H68)&gt;0,H68,WORKDAY.INTL(MAX(p_start-1,SUMPRODUCT(MAX(($I$6:$I67=$I68)*$M$6:$M67))),1,p_weekend,p_holidays)))</f>
        <v>0.0</v>
      </c>
      <c r="M68" s="61">
        <f>IF(K68="",0,WORKDAY.INTL(L68,K68-1,p_weekend,p_holidays))</f>
        <v>0.0</v>
      </c>
      <c r="N68" s="62" t="str">
        <f>IF(OR(M68=0,N(F68)=0,G68="Terminé"),"",F68-M68)</f>
        <v/>
      </c>
      <c r="O68" s="58" t="str">
        <f>IF(B68="","",IF(G68="Annulé","Annulé",IF(G68="Terminé","Terminé",IF(M68=0,"À compléter",IF(N(F68)=0,"Sans échéance",IF(M68&gt;F68,"En retard",IF(F68-M68&lt;=p_margin,"Juste","À l'heure")))))))</f>
        <v/>
      </c>
      <c r="P68" s="55" t="n"/>
      <c r="Q68" s="63" t="str">
        <f>IF(OR(B68="",N(D68)&lt;=0),"",MIN(1,N(P68)/D68))</f>
        <v/>
      </c>
      <c r="R68" s="64" t="str">
        <f>IF(OR(J68="",ISNA(MATCH(I68,po_code,0))),"",ROUND(J68*N(INDEX(po_rate,MATCH(I68,po_code,0))),2))</f>
        <v/>
      </c>
      <c r="S68" s="58" t="str">
        <f>IF(AND(A68="",B68=""),"",IF(B68="","Référence manquante",IF(ISNA(MATCH($B68,art_ref,0)),"Référence inconnue",IF(N(D68)&lt;=0,"Quantité invalide",IF(AND(A68&lt;&gt;"",COUNTIF(of_num,A68)&gt;1),"N° OF en double",IF(G68="Annulé","OK",IF(I68="","Poste manquant (gamme)",IF(ISNA(MATCH(I68,po_code,0)),"Poste inconnu",IF(K68="","Capacité du poste nulle",IF(AND(H68&lt;&gt;"",N(H68)=0),"Début imposé invalide",IF(AND(N(H68)&gt;0,WORKDAY.INTL(H68-1,1,p_weekend,p_holidays)&lt;&gt;H68),"Début un jour chômé",IF(AND(N(H68)&gt;0,H68&lt;=SUMPRODUCT(MAX(($I$6:$I67=$I68)*$M$6:$M67))),"Chevauche l'OF précédent",IF(N(F68)=0,"Date de besoin manquante","OK")))))))))))))</f>
        <v/>
      </c>
      <c r="T68" s="65" t="str">
        <f>IF(K68="","",J68/K68)</f>
        <v/>
      </c>
      <c r="U68" s="66" t="str">
        <f>IF(OR(O68="En retard",O68="Juste"),COUNTIF($O$6:O68,"En retard")+COUNTIF($O$6:O68,"Juste"),"")</f>
        <v/>
      </c>
    </row>
    <row r="69">
      <c r="A69" s="53" t="n"/>
      <c r="B69" s="53" t="n"/>
      <c r="C69" s="54" t="str">
        <f>IF(B69="","",IFERROR(INDEX(art_des,MATCH($B69,art_ref,0)),"Référence inconnue"))</f>
        <v/>
      </c>
      <c r="D69" s="55" t="n"/>
      <c r="E69" s="53" t="n"/>
      <c r="F69" s="56" t="n"/>
      <c r="G69" s="57" t="n"/>
      <c r="H69" s="56" t="n"/>
      <c r="I69" s="58" t="str">
        <f>IF(B69="","",IFERROR(INDEX(art_poste,MATCH($B69,art_ref,0))&amp;"",""))</f>
        <v/>
      </c>
      <c r="J69" s="59" t="str">
        <f>IF(OR(B69="",G69="Annulé",N(D69)&lt;=0),"",IFERROR(ROUND(INDEX(art_setup,MATCH($B69,art_ref,0))+D69*INDEX(art_cycle,MATCH($B69,art_ref,0))/60,2),""))</f>
        <v/>
      </c>
      <c r="K69" s="60" t="str">
        <f>IF(J69="","",IFERROR(MAX(1,ROUNDUP(J69/INDEX(po_cap,MATCH(I69,po_code,0)),0)),""))</f>
        <v/>
      </c>
      <c r="L69" s="61">
        <f>IF(K69="",0,IF(N(H69)&gt;0,H69,WORKDAY.INTL(MAX(p_start-1,SUMPRODUCT(MAX(($I$6:$I68=$I69)*$M$6:$M68))),1,p_weekend,p_holidays)))</f>
        <v>0.0</v>
      </c>
      <c r="M69" s="61">
        <f>IF(K69="",0,WORKDAY.INTL(L69,K69-1,p_weekend,p_holidays))</f>
        <v>0.0</v>
      </c>
      <c r="N69" s="62" t="str">
        <f>IF(OR(M69=0,N(F69)=0,G69="Terminé"),"",F69-M69)</f>
        <v/>
      </c>
      <c r="O69" s="58" t="str">
        <f>IF(B69="","",IF(G69="Annulé","Annulé",IF(G69="Terminé","Terminé",IF(M69=0,"À compléter",IF(N(F69)=0,"Sans échéance",IF(M69&gt;F69,"En retard",IF(F69-M69&lt;=p_margin,"Juste","À l'heure")))))))</f>
        <v/>
      </c>
      <c r="P69" s="55" t="n"/>
      <c r="Q69" s="63" t="str">
        <f>IF(OR(B69="",N(D69)&lt;=0),"",MIN(1,N(P69)/D69))</f>
        <v/>
      </c>
      <c r="R69" s="64" t="str">
        <f>IF(OR(J69="",ISNA(MATCH(I69,po_code,0))),"",ROUND(J69*N(INDEX(po_rate,MATCH(I69,po_code,0))),2))</f>
        <v/>
      </c>
      <c r="S69" s="58" t="str">
        <f>IF(AND(A69="",B69=""),"",IF(B69="","Référence manquante",IF(ISNA(MATCH($B69,art_ref,0)),"Référence inconnue",IF(N(D69)&lt;=0,"Quantité invalide",IF(AND(A69&lt;&gt;"",COUNTIF(of_num,A69)&gt;1),"N° OF en double",IF(G69="Annulé","OK",IF(I69="","Poste manquant (gamme)",IF(ISNA(MATCH(I69,po_code,0)),"Poste inconnu",IF(K69="","Capacité du poste nulle",IF(AND(H69&lt;&gt;"",N(H69)=0),"Début imposé invalide",IF(AND(N(H69)&gt;0,WORKDAY.INTL(H69-1,1,p_weekend,p_holidays)&lt;&gt;H69),"Début un jour chômé",IF(AND(N(H69)&gt;0,H69&lt;=SUMPRODUCT(MAX(($I$6:$I68=$I69)*$M$6:$M68))),"Chevauche l'OF précédent",IF(N(F69)=0,"Date de besoin manquante","OK")))))))))))))</f>
        <v/>
      </c>
      <c r="T69" s="65" t="str">
        <f>IF(K69="","",J69/K69)</f>
        <v/>
      </c>
      <c r="U69" s="66" t="str">
        <f>IF(OR(O69="En retard",O69="Juste"),COUNTIF($O$6:O69,"En retard")+COUNTIF($O$6:O69,"Juste"),"")</f>
        <v/>
      </c>
    </row>
    <row r="70">
      <c r="A70" s="53" t="n"/>
      <c r="B70" s="53" t="n"/>
      <c r="C70" s="54" t="str">
        <f>IF(B70="","",IFERROR(INDEX(art_des,MATCH($B70,art_ref,0)),"Référence inconnue"))</f>
        <v/>
      </c>
      <c r="D70" s="55" t="n"/>
      <c r="E70" s="53" t="n"/>
      <c r="F70" s="56" t="n"/>
      <c r="G70" s="57" t="n"/>
      <c r="H70" s="56" t="n"/>
      <c r="I70" s="58" t="str">
        <f>IF(B70="","",IFERROR(INDEX(art_poste,MATCH($B70,art_ref,0))&amp;"",""))</f>
        <v/>
      </c>
      <c r="J70" s="59" t="str">
        <f>IF(OR(B70="",G70="Annulé",N(D70)&lt;=0),"",IFERROR(ROUND(INDEX(art_setup,MATCH($B70,art_ref,0))+D70*INDEX(art_cycle,MATCH($B70,art_ref,0))/60,2),""))</f>
        <v/>
      </c>
      <c r="K70" s="60" t="str">
        <f>IF(J70="","",IFERROR(MAX(1,ROUNDUP(J70/INDEX(po_cap,MATCH(I70,po_code,0)),0)),""))</f>
        <v/>
      </c>
      <c r="L70" s="61">
        <f>IF(K70="",0,IF(N(H70)&gt;0,H70,WORKDAY.INTL(MAX(p_start-1,SUMPRODUCT(MAX(($I$6:$I69=$I70)*$M$6:$M69))),1,p_weekend,p_holidays)))</f>
        <v>0.0</v>
      </c>
      <c r="M70" s="61">
        <f>IF(K70="",0,WORKDAY.INTL(L70,K70-1,p_weekend,p_holidays))</f>
        <v>0.0</v>
      </c>
      <c r="N70" s="62" t="str">
        <f>IF(OR(M70=0,N(F70)=0,G70="Terminé"),"",F70-M70)</f>
        <v/>
      </c>
      <c r="O70" s="58" t="str">
        <f>IF(B70="","",IF(G70="Annulé","Annulé",IF(G70="Terminé","Terminé",IF(M70=0,"À compléter",IF(N(F70)=0,"Sans échéance",IF(M70&gt;F70,"En retard",IF(F70-M70&lt;=p_margin,"Juste","À l'heure")))))))</f>
        <v/>
      </c>
      <c r="P70" s="55" t="n"/>
      <c r="Q70" s="63" t="str">
        <f>IF(OR(B70="",N(D70)&lt;=0),"",MIN(1,N(P70)/D70))</f>
        <v/>
      </c>
      <c r="R70" s="64" t="str">
        <f>IF(OR(J70="",ISNA(MATCH(I70,po_code,0))),"",ROUND(J70*N(INDEX(po_rate,MATCH(I70,po_code,0))),2))</f>
        <v/>
      </c>
      <c r="S70" s="58" t="str">
        <f>IF(AND(A70="",B70=""),"",IF(B70="","Référence manquante",IF(ISNA(MATCH($B70,art_ref,0)),"Référence inconnue",IF(N(D70)&lt;=0,"Quantité invalide",IF(AND(A70&lt;&gt;"",COUNTIF(of_num,A70)&gt;1),"N° OF en double",IF(G70="Annulé","OK",IF(I70="","Poste manquant (gamme)",IF(ISNA(MATCH(I70,po_code,0)),"Poste inconnu",IF(K70="","Capacité du poste nulle",IF(AND(H70&lt;&gt;"",N(H70)=0),"Début imposé invalide",IF(AND(N(H70)&gt;0,WORKDAY.INTL(H70-1,1,p_weekend,p_holidays)&lt;&gt;H70),"Début un jour chômé",IF(AND(N(H70)&gt;0,H70&lt;=SUMPRODUCT(MAX(($I$6:$I69=$I70)*$M$6:$M69))),"Chevauche l'OF précédent",IF(N(F70)=0,"Date de besoin manquante","OK")))))))))))))</f>
        <v/>
      </c>
      <c r="T70" s="65" t="str">
        <f>IF(K70="","",J70/K70)</f>
        <v/>
      </c>
      <c r="U70" s="66" t="str">
        <f>IF(OR(O70="En retard",O70="Juste"),COUNTIF($O$6:O70,"En retard")+COUNTIF($O$6:O70,"Juste"),"")</f>
        <v/>
      </c>
    </row>
    <row r="71">
      <c r="A71" s="53" t="n"/>
      <c r="B71" s="53" t="n"/>
      <c r="C71" s="54" t="str">
        <f>IF(B71="","",IFERROR(INDEX(art_des,MATCH($B71,art_ref,0)),"Référence inconnue"))</f>
        <v/>
      </c>
      <c r="D71" s="55" t="n"/>
      <c r="E71" s="53" t="n"/>
      <c r="F71" s="56" t="n"/>
      <c r="G71" s="57" t="n"/>
      <c r="H71" s="56" t="n"/>
      <c r="I71" s="58" t="str">
        <f>IF(B71="","",IFERROR(INDEX(art_poste,MATCH($B71,art_ref,0))&amp;"",""))</f>
        <v/>
      </c>
      <c r="J71" s="59" t="str">
        <f>IF(OR(B71="",G71="Annulé",N(D71)&lt;=0),"",IFERROR(ROUND(INDEX(art_setup,MATCH($B71,art_ref,0))+D71*INDEX(art_cycle,MATCH($B71,art_ref,0))/60,2),""))</f>
        <v/>
      </c>
      <c r="K71" s="60" t="str">
        <f>IF(J71="","",IFERROR(MAX(1,ROUNDUP(J71/INDEX(po_cap,MATCH(I71,po_code,0)),0)),""))</f>
        <v/>
      </c>
      <c r="L71" s="61">
        <f>IF(K71="",0,IF(N(H71)&gt;0,H71,WORKDAY.INTL(MAX(p_start-1,SUMPRODUCT(MAX(($I$6:$I70=$I71)*$M$6:$M70))),1,p_weekend,p_holidays)))</f>
        <v>0.0</v>
      </c>
      <c r="M71" s="61">
        <f>IF(K71="",0,WORKDAY.INTL(L71,K71-1,p_weekend,p_holidays))</f>
        <v>0.0</v>
      </c>
      <c r="N71" s="62" t="str">
        <f>IF(OR(M71=0,N(F71)=0,G71="Terminé"),"",F71-M71)</f>
        <v/>
      </c>
      <c r="O71" s="58" t="str">
        <f>IF(B71="","",IF(G71="Annulé","Annulé",IF(G71="Terminé","Terminé",IF(M71=0,"À compléter",IF(N(F71)=0,"Sans échéance",IF(M71&gt;F71,"En retard",IF(F71-M71&lt;=p_margin,"Juste","À l'heure")))))))</f>
        <v/>
      </c>
      <c r="P71" s="55" t="n"/>
      <c r="Q71" s="63" t="str">
        <f>IF(OR(B71="",N(D71)&lt;=0),"",MIN(1,N(P71)/D71))</f>
        <v/>
      </c>
      <c r="R71" s="64" t="str">
        <f>IF(OR(J71="",ISNA(MATCH(I71,po_code,0))),"",ROUND(J71*N(INDEX(po_rate,MATCH(I71,po_code,0))),2))</f>
        <v/>
      </c>
      <c r="S71" s="58" t="str">
        <f>IF(AND(A71="",B71=""),"",IF(B71="","Référence manquante",IF(ISNA(MATCH($B71,art_ref,0)),"Référence inconnue",IF(N(D71)&lt;=0,"Quantité invalide",IF(AND(A71&lt;&gt;"",COUNTIF(of_num,A71)&gt;1),"N° OF en double",IF(G71="Annulé","OK",IF(I71="","Poste manquant (gamme)",IF(ISNA(MATCH(I71,po_code,0)),"Poste inconnu",IF(K71="","Capacité du poste nulle",IF(AND(H71&lt;&gt;"",N(H71)=0),"Début imposé invalide",IF(AND(N(H71)&gt;0,WORKDAY.INTL(H71-1,1,p_weekend,p_holidays)&lt;&gt;H71),"Début un jour chômé",IF(AND(N(H71)&gt;0,H71&lt;=SUMPRODUCT(MAX(($I$6:$I70=$I71)*$M$6:$M70))),"Chevauche l'OF précédent",IF(N(F71)=0,"Date de besoin manquante","OK")))))))))))))</f>
        <v/>
      </c>
      <c r="T71" s="65" t="str">
        <f>IF(K71="","",J71/K71)</f>
        <v/>
      </c>
      <c r="U71" s="66" t="str">
        <f>IF(OR(O71="En retard",O71="Juste"),COUNTIF($O$6:O71,"En retard")+COUNTIF($O$6:O71,"Juste"),"")</f>
        <v/>
      </c>
    </row>
    <row r="72">
      <c r="A72" s="53" t="n"/>
      <c r="B72" s="53" t="n"/>
      <c r="C72" s="54" t="str">
        <f>IF(B72="","",IFERROR(INDEX(art_des,MATCH($B72,art_ref,0)),"Référence inconnue"))</f>
        <v/>
      </c>
      <c r="D72" s="55" t="n"/>
      <c r="E72" s="53" t="n"/>
      <c r="F72" s="56" t="n"/>
      <c r="G72" s="57" t="n"/>
      <c r="H72" s="56" t="n"/>
      <c r="I72" s="58" t="str">
        <f>IF(B72="","",IFERROR(INDEX(art_poste,MATCH($B72,art_ref,0))&amp;"",""))</f>
        <v/>
      </c>
      <c r="J72" s="59" t="str">
        <f>IF(OR(B72="",G72="Annulé",N(D72)&lt;=0),"",IFERROR(ROUND(INDEX(art_setup,MATCH($B72,art_ref,0))+D72*INDEX(art_cycle,MATCH($B72,art_ref,0))/60,2),""))</f>
        <v/>
      </c>
      <c r="K72" s="60" t="str">
        <f>IF(J72="","",IFERROR(MAX(1,ROUNDUP(J72/INDEX(po_cap,MATCH(I72,po_code,0)),0)),""))</f>
        <v/>
      </c>
      <c r="L72" s="61">
        <f>IF(K72="",0,IF(N(H72)&gt;0,H72,WORKDAY.INTL(MAX(p_start-1,SUMPRODUCT(MAX(($I$6:$I71=$I72)*$M$6:$M71))),1,p_weekend,p_holidays)))</f>
        <v>0.0</v>
      </c>
      <c r="M72" s="61">
        <f>IF(K72="",0,WORKDAY.INTL(L72,K72-1,p_weekend,p_holidays))</f>
        <v>0.0</v>
      </c>
      <c r="N72" s="62" t="str">
        <f>IF(OR(M72=0,N(F72)=0,G72="Terminé"),"",F72-M72)</f>
        <v/>
      </c>
      <c r="O72" s="58" t="str">
        <f>IF(B72="","",IF(G72="Annulé","Annulé",IF(G72="Terminé","Terminé",IF(M72=0,"À compléter",IF(N(F72)=0,"Sans échéance",IF(M72&gt;F72,"En retard",IF(F72-M72&lt;=p_margin,"Juste","À l'heure")))))))</f>
        <v/>
      </c>
      <c r="P72" s="55" t="n"/>
      <c r="Q72" s="63" t="str">
        <f>IF(OR(B72="",N(D72)&lt;=0),"",MIN(1,N(P72)/D72))</f>
        <v/>
      </c>
      <c r="R72" s="64" t="str">
        <f>IF(OR(J72="",ISNA(MATCH(I72,po_code,0))),"",ROUND(J72*N(INDEX(po_rate,MATCH(I72,po_code,0))),2))</f>
        <v/>
      </c>
      <c r="S72" s="58" t="str">
        <f>IF(AND(A72="",B72=""),"",IF(B72="","Référence manquante",IF(ISNA(MATCH($B72,art_ref,0)),"Référence inconnue",IF(N(D72)&lt;=0,"Quantité invalide",IF(AND(A72&lt;&gt;"",COUNTIF(of_num,A72)&gt;1),"N° OF en double",IF(G72="Annulé","OK",IF(I72="","Poste manquant (gamme)",IF(ISNA(MATCH(I72,po_code,0)),"Poste inconnu",IF(K72="","Capacité du poste nulle",IF(AND(H72&lt;&gt;"",N(H72)=0),"Début imposé invalide",IF(AND(N(H72)&gt;0,WORKDAY.INTL(H72-1,1,p_weekend,p_holidays)&lt;&gt;H72),"Début un jour chômé",IF(AND(N(H72)&gt;0,H72&lt;=SUMPRODUCT(MAX(($I$6:$I71=$I72)*$M$6:$M71))),"Chevauche l'OF précédent",IF(N(F72)=0,"Date de besoin manquante","OK")))))))))))))</f>
        <v/>
      </c>
      <c r="T72" s="65" t="str">
        <f>IF(K72="","",J72/K72)</f>
        <v/>
      </c>
      <c r="U72" s="66" t="str">
        <f>IF(OR(O72="En retard",O72="Juste"),COUNTIF($O$6:O72,"En retard")+COUNTIF($O$6:O72,"Juste"),"")</f>
        <v/>
      </c>
    </row>
    <row r="73">
      <c r="A73" s="53" t="n"/>
      <c r="B73" s="53" t="n"/>
      <c r="C73" s="54" t="str">
        <f>IF(B73="","",IFERROR(INDEX(art_des,MATCH($B73,art_ref,0)),"Référence inconnue"))</f>
        <v/>
      </c>
      <c r="D73" s="55" t="n"/>
      <c r="E73" s="53" t="n"/>
      <c r="F73" s="56" t="n"/>
      <c r="G73" s="57" t="n"/>
      <c r="H73" s="56" t="n"/>
      <c r="I73" s="58" t="str">
        <f>IF(B73="","",IFERROR(INDEX(art_poste,MATCH($B73,art_ref,0))&amp;"",""))</f>
        <v/>
      </c>
      <c r="J73" s="59" t="str">
        <f>IF(OR(B73="",G73="Annulé",N(D73)&lt;=0),"",IFERROR(ROUND(INDEX(art_setup,MATCH($B73,art_ref,0))+D73*INDEX(art_cycle,MATCH($B73,art_ref,0))/60,2),""))</f>
        <v/>
      </c>
      <c r="K73" s="60" t="str">
        <f>IF(J73="","",IFERROR(MAX(1,ROUNDUP(J73/INDEX(po_cap,MATCH(I73,po_code,0)),0)),""))</f>
        <v/>
      </c>
      <c r="L73" s="61">
        <f>IF(K73="",0,IF(N(H73)&gt;0,H73,WORKDAY.INTL(MAX(p_start-1,SUMPRODUCT(MAX(($I$6:$I72=$I73)*$M$6:$M72))),1,p_weekend,p_holidays)))</f>
        <v>0.0</v>
      </c>
      <c r="M73" s="61">
        <f>IF(K73="",0,WORKDAY.INTL(L73,K73-1,p_weekend,p_holidays))</f>
        <v>0.0</v>
      </c>
      <c r="N73" s="62" t="str">
        <f>IF(OR(M73=0,N(F73)=0,G73="Terminé"),"",F73-M73)</f>
        <v/>
      </c>
      <c r="O73" s="58" t="str">
        <f>IF(B73="","",IF(G73="Annulé","Annulé",IF(G73="Terminé","Terminé",IF(M73=0,"À compléter",IF(N(F73)=0,"Sans échéance",IF(M73&gt;F73,"En retard",IF(F73-M73&lt;=p_margin,"Juste","À l'heure")))))))</f>
        <v/>
      </c>
      <c r="P73" s="55" t="n"/>
      <c r="Q73" s="63" t="str">
        <f>IF(OR(B73="",N(D73)&lt;=0),"",MIN(1,N(P73)/D73))</f>
        <v/>
      </c>
      <c r="R73" s="64" t="str">
        <f>IF(OR(J73="",ISNA(MATCH(I73,po_code,0))),"",ROUND(J73*N(INDEX(po_rate,MATCH(I73,po_code,0))),2))</f>
        <v/>
      </c>
      <c r="S73" s="58" t="str">
        <f>IF(AND(A73="",B73=""),"",IF(B73="","Référence manquante",IF(ISNA(MATCH($B73,art_ref,0)),"Référence inconnue",IF(N(D73)&lt;=0,"Quantité invalide",IF(AND(A73&lt;&gt;"",COUNTIF(of_num,A73)&gt;1),"N° OF en double",IF(G73="Annulé","OK",IF(I73="","Poste manquant (gamme)",IF(ISNA(MATCH(I73,po_code,0)),"Poste inconnu",IF(K73="","Capacité du poste nulle",IF(AND(H73&lt;&gt;"",N(H73)=0),"Début imposé invalide",IF(AND(N(H73)&gt;0,WORKDAY.INTL(H73-1,1,p_weekend,p_holidays)&lt;&gt;H73),"Début un jour chômé",IF(AND(N(H73)&gt;0,H73&lt;=SUMPRODUCT(MAX(($I$6:$I72=$I73)*$M$6:$M72))),"Chevauche l'OF précédent",IF(N(F73)=0,"Date de besoin manquante","OK")))))))))))))</f>
        <v/>
      </c>
      <c r="T73" s="65" t="str">
        <f>IF(K73="","",J73/K73)</f>
        <v/>
      </c>
      <c r="U73" s="66" t="str">
        <f>IF(OR(O73="En retard",O73="Juste"),COUNTIF($O$6:O73,"En retard")+COUNTIF($O$6:O73,"Juste"),"")</f>
        <v/>
      </c>
    </row>
    <row r="74">
      <c r="A74" s="53" t="n"/>
      <c r="B74" s="53" t="n"/>
      <c r="C74" s="54" t="str">
        <f>IF(B74="","",IFERROR(INDEX(art_des,MATCH($B74,art_ref,0)),"Référence inconnue"))</f>
        <v/>
      </c>
      <c r="D74" s="55" t="n"/>
      <c r="E74" s="53" t="n"/>
      <c r="F74" s="56" t="n"/>
      <c r="G74" s="57" t="n"/>
      <c r="H74" s="56" t="n"/>
      <c r="I74" s="58" t="str">
        <f>IF(B74="","",IFERROR(INDEX(art_poste,MATCH($B74,art_ref,0))&amp;"",""))</f>
        <v/>
      </c>
      <c r="J74" s="59" t="str">
        <f>IF(OR(B74="",G74="Annulé",N(D74)&lt;=0),"",IFERROR(ROUND(INDEX(art_setup,MATCH($B74,art_ref,0))+D74*INDEX(art_cycle,MATCH($B74,art_ref,0))/60,2),""))</f>
        <v/>
      </c>
      <c r="K74" s="60" t="str">
        <f>IF(J74="","",IFERROR(MAX(1,ROUNDUP(J74/INDEX(po_cap,MATCH(I74,po_code,0)),0)),""))</f>
        <v/>
      </c>
      <c r="L74" s="61">
        <f>IF(K74="",0,IF(N(H74)&gt;0,H74,WORKDAY.INTL(MAX(p_start-1,SUMPRODUCT(MAX(($I$6:$I73=$I74)*$M$6:$M73))),1,p_weekend,p_holidays)))</f>
        <v>0.0</v>
      </c>
      <c r="M74" s="61">
        <f>IF(K74="",0,WORKDAY.INTL(L74,K74-1,p_weekend,p_holidays))</f>
        <v>0.0</v>
      </c>
      <c r="N74" s="62" t="str">
        <f>IF(OR(M74=0,N(F74)=0,G74="Terminé"),"",F74-M74)</f>
        <v/>
      </c>
      <c r="O74" s="58" t="str">
        <f>IF(B74="","",IF(G74="Annulé","Annulé",IF(G74="Terminé","Terminé",IF(M74=0,"À compléter",IF(N(F74)=0,"Sans échéance",IF(M74&gt;F74,"En retard",IF(F74-M74&lt;=p_margin,"Juste","À l'heure")))))))</f>
        <v/>
      </c>
      <c r="P74" s="55" t="n"/>
      <c r="Q74" s="63" t="str">
        <f>IF(OR(B74="",N(D74)&lt;=0),"",MIN(1,N(P74)/D74))</f>
        <v/>
      </c>
      <c r="R74" s="64" t="str">
        <f>IF(OR(J74="",ISNA(MATCH(I74,po_code,0))),"",ROUND(J74*N(INDEX(po_rate,MATCH(I74,po_code,0))),2))</f>
        <v/>
      </c>
      <c r="S74" s="58" t="str">
        <f>IF(AND(A74="",B74=""),"",IF(B74="","Référence manquante",IF(ISNA(MATCH($B74,art_ref,0)),"Référence inconnue",IF(N(D74)&lt;=0,"Quantité invalide",IF(AND(A74&lt;&gt;"",COUNTIF(of_num,A74)&gt;1),"N° OF en double",IF(G74="Annulé","OK",IF(I74="","Poste manquant (gamme)",IF(ISNA(MATCH(I74,po_code,0)),"Poste inconnu",IF(K74="","Capacité du poste nulle",IF(AND(H74&lt;&gt;"",N(H74)=0),"Début imposé invalide",IF(AND(N(H74)&gt;0,WORKDAY.INTL(H74-1,1,p_weekend,p_holidays)&lt;&gt;H74),"Début un jour chômé",IF(AND(N(H74)&gt;0,H74&lt;=SUMPRODUCT(MAX(($I$6:$I73=$I74)*$M$6:$M73))),"Chevauche l'OF précédent",IF(N(F74)=0,"Date de besoin manquante","OK")))))))))))))</f>
        <v/>
      </c>
      <c r="T74" s="65" t="str">
        <f>IF(K74="","",J74/K74)</f>
        <v/>
      </c>
      <c r="U74" s="66" t="str">
        <f>IF(OR(O74="En retard",O74="Juste"),COUNTIF($O$6:O74,"En retard")+COUNTIF($O$6:O74,"Juste"),"")</f>
        <v/>
      </c>
    </row>
    <row r="75">
      <c r="A75" s="53" t="n"/>
      <c r="B75" s="53" t="n"/>
      <c r="C75" s="54" t="str">
        <f>IF(B75="","",IFERROR(INDEX(art_des,MATCH($B75,art_ref,0)),"Référence inconnue"))</f>
        <v/>
      </c>
      <c r="D75" s="55" t="n"/>
      <c r="E75" s="53" t="n"/>
      <c r="F75" s="56" t="n"/>
      <c r="G75" s="57" t="n"/>
      <c r="H75" s="56" t="n"/>
      <c r="I75" s="58" t="str">
        <f>IF(B75="","",IFERROR(INDEX(art_poste,MATCH($B75,art_ref,0))&amp;"",""))</f>
        <v/>
      </c>
      <c r="J75" s="59" t="str">
        <f>IF(OR(B75="",G75="Annulé",N(D75)&lt;=0),"",IFERROR(ROUND(INDEX(art_setup,MATCH($B75,art_ref,0))+D75*INDEX(art_cycle,MATCH($B75,art_ref,0))/60,2),""))</f>
        <v/>
      </c>
      <c r="K75" s="60" t="str">
        <f>IF(J75="","",IFERROR(MAX(1,ROUNDUP(J75/INDEX(po_cap,MATCH(I75,po_code,0)),0)),""))</f>
        <v/>
      </c>
      <c r="L75" s="61">
        <f>IF(K75="",0,IF(N(H75)&gt;0,H75,WORKDAY.INTL(MAX(p_start-1,SUMPRODUCT(MAX(($I$6:$I74=$I75)*$M$6:$M74))),1,p_weekend,p_holidays)))</f>
        <v>0.0</v>
      </c>
      <c r="M75" s="61">
        <f>IF(K75="",0,WORKDAY.INTL(L75,K75-1,p_weekend,p_holidays))</f>
        <v>0.0</v>
      </c>
      <c r="N75" s="62" t="str">
        <f>IF(OR(M75=0,N(F75)=0,G75="Terminé"),"",F75-M75)</f>
        <v/>
      </c>
      <c r="O75" s="58" t="str">
        <f>IF(B75="","",IF(G75="Annulé","Annulé",IF(G75="Terminé","Terminé",IF(M75=0,"À compléter",IF(N(F75)=0,"Sans échéance",IF(M75&gt;F75,"En retard",IF(F75-M75&lt;=p_margin,"Juste","À l'heure")))))))</f>
        <v/>
      </c>
      <c r="P75" s="55" t="n"/>
      <c r="Q75" s="63" t="str">
        <f>IF(OR(B75="",N(D75)&lt;=0),"",MIN(1,N(P75)/D75))</f>
        <v/>
      </c>
      <c r="R75" s="64" t="str">
        <f>IF(OR(J75="",ISNA(MATCH(I75,po_code,0))),"",ROUND(J75*N(INDEX(po_rate,MATCH(I75,po_code,0))),2))</f>
        <v/>
      </c>
      <c r="S75" s="58" t="str">
        <f>IF(AND(A75="",B75=""),"",IF(B75="","Référence manquante",IF(ISNA(MATCH($B75,art_ref,0)),"Référence inconnue",IF(N(D75)&lt;=0,"Quantité invalide",IF(AND(A75&lt;&gt;"",COUNTIF(of_num,A75)&gt;1),"N° OF en double",IF(G75="Annulé","OK",IF(I75="","Poste manquant (gamme)",IF(ISNA(MATCH(I75,po_code,0)),"Poste inconnu",IF(K75="","Capacité du poste nulle",IF(AND(H75&lt;&gt;"",N(H75)=0),"Début imposé invalide",IF(AND(N(H75)&gt;0,WORKDAY.INTL(H75-1,1,p_weekend,p_holidays)&lt;&gt;H75),"Début un jour chômé",IF(AND(N(H75)&gt;0,H75&lt;=SUMPRODUCT(MAX(($I$6:$I74=$I75)*$M$6:$M74))),"Chevauche l'OF précédent",IF(N(F75)=0,"Date de besoin manquante","OK")))))))))))))</f>
        <v/>
      </c>
      <c r="T75" s="65" t="str">
        <f>IF(K75="","",J75/K75)</f>
        <v/>
      </c>
      <c r="U75" s="66" t="str">
        <f>IF(OR(O75="En retard",O75="Juste"),COUNTIF($O$6:O75,"En retard")+COUNTIF($O$6:O75,"Juste"),"")</f>
        <v/>
      </c>
    </row>
    <row r="76">
      <c r="A76" s="53" t="n"/>
      <c r="B76" s="53" t="n"/>
      <c r="C76" s="54" t="str">
        <f>IF(B76="","",IFERROR(INDEX(art_des,MATCH($B76,art_ref,0)),"Référence inconnue"))</f>
        <v/>
      </c>
      <c r="D76" s="55" t="n"/>
      <c r="E76" s="53" t="n"/>
      <c r="F76" s="56" t="n"/>
      <c r="G76" s="57" t="n"/>
      <c r="H76" s="56" t="n"/>
      <c r="I76" s="58" t="str">
        <f>IF(B76="","",IFERROR(INDEX(art_poste,MATCH($B76,art_ref,0))&amp;"",""))</f>
        <v/>
      </c>
      <c r="J76" s="59" t="str">
        <f>IF(OR(B76="",G76="Annulé",N(D76)&lt;=0),"",IFERROR(ROUND(INDEX(art_setup,MATCH($B76,art_ref,0))+D76*INDEX(art_cycle,MATCH($B76,art_ref,0))/60,2),""))</f>
        <v/>
      </c>
      <c r="K76" s="60" t="str">
        <f>IF(J76="","",IFERROR(MAX(1,ROUNDUP(J76/INDEX(po_cap,MATCH(I76,po_code,0)),0)),""))</f>
        <v/>
      </c>
      <c r="L76" s="61">
        <f>IF(K76="",0,IF(N(H76)&gt;0,H76,WORKDAY.INTL(MAX(p_start-1,SUMPRODUCT(MAX(($I$6:$I75=$I76)*$M$6:$M75))),1,p_weekend,p_holidays)))</f>
        <v>0.0</v>
      </c>
      <c r="M76" s="61">
        <f>IF(K76="",0,WORKDAY.INTL(L76,K76-1,p_weekend,p_holidays))</f>
        <v>0.0</v>
      </c>
      <c r="N76" s="62" t="str">
        <f>IF(OR(M76=0,N(F76)=0,G76="Terminé"),"",F76-M76)</f>
        <v/>
      </c>
      <c r="O76" s="58" t="str">
        <f>IF(B76="","",IF(G76="Annulé","Annulé",IF(G76="Terminé","Terminé",IF(M76=0,"À compléter",IF(N(F76)=0,"Sans échéance",IF(M76&gt;F76,"En retard",IF(F76-M76&lt;=p_margin,"Juste","À l'heure")))))))</f>
        <v/>
      </c>
      <c r="P76" s="55" t="n"/>
      <c r="Q76" s="63" t="str">
        <f>IF(OR(B76="",N(D76)&lt;=0),"",MIN(1,N(P76)/D76))</f>
        <v/>
      </c>
      <c r="R76" s="64" t="str">
        <f>IF(OR(J76="",ISNA(MATCH(I76,po_code,0))),"",ROUND(J76*N(INDEX(po_rate,MATCH(I76,po_code,0))),2))</f>
        <v/>
      </c>
      <c r="S76" s="58" t="str">
        <f>IF(AND(A76="",B76=""),"",IF(B76="","Référence manquante",IF(ISNA(MATCH($B76,art_ref,0)),"Référence inconnue",IF(N(D76)&lt;=0,"Quantité invalide",IF(AND(A76&lt;&gt;"",COUNTIF(of_num,A76)&gt;1),"N° OF en double",IF(G76="Annulé","OK",IF(I76="","Poste manquant (gamme)",IF(ISNA(MATCH(I76,po_code,0)),"Poste inconnu",IF(K76="","Capacité du poste nulle",IF(AND(H76&lt;&gt;"",N(H76)=0),"Début imposé invalide",IF(AND(N(H76)&gt;0,WORKDAY.INTL(H76-1,1,p_weekend,p_holidays)&lt;&gt;H76),"Début un jour chômé",IF(AND(N(H76)&gt;0,H76&lt;=SUMPRODUCT(MAX(($I$6:$I75=$I76)*$M$6:$M75))),"Chevauche l'OF précédent",IF(N(F76)=0,"Date de besoin manquante","OK")))))))))))))</f>
        <v/>
      </c>
      <c r="T76" s="65" t="str">
        <f>IF(K76="","",J76/K76)</f>
        <v/>
      </c>
      <c r="U76" s="66" t="str">
        <f>IF(OR(O76="En retard",O76="Juste"),COUNTIF($O$6:O76,"En retard")+COUNTIF($O$6:O76,"Juste"),"")</f>
        <v/>
      </c>
    </row>
    <row r="77">
      <c r="A77" s="53" t="n"/>
      <c r="B77" s="53" t="n"/>
      <c r="C77" s="54" t="str">
        <f>IF(B77="","",IFERROR(INDEX(art_des,MATCH($B77,art_ref,0)),"Référence inconnue"))</f>
        <v/>
      </c>
      <c r="D77" s="55" t="n"/>
      <c r="E77" s="53" t="n"/>
      <c r="F77" s="56" t="n"/>
      <c r="G77" s="57" t="n"/>
      <c r="H77" s="56" t="n"/>
      <c r="I77" s="58" t="str">
        <f>IF(B77="","",IFERROR(INDEX(art_poste,MATCH($B77,art_ref,0))&amp;"",""))</f>
        <v/>
      </c>
      <c r="J77" s="59" t="str">
        <f>IF(OR(B77="",G77="Annulé",N(D77)&lt;=0),"",IFERROR(ROUND(INDEX(art_setup,MATCH($B77,art_ref,0))+D77*INDEX(art_cycle,MATCH($B77,art_ref,0))/60,2),""))</f>
        <v/>
      </c>
      <c r="K77" s="60" t="str">
        <f>IF(J77="","",IFERROR(MAX(1,ROUNDUP(J77/INDEX(po_cap,MATCH(I77,po_code,0)),0)),""))</f>
        <v/>
      </c>
      <c r="L77" s="61">
        <f>IF(K77="",0,IF(N(H77)&gt;0,H77,WORKDAY.INTL(MAX(p_start-1,SUMPRODUCT(MAX(($I$6:$I76=$I77)*$M$6:$M76))),1,p_weekend,p_holidays)))</f>
        <v>0.0</v>
      </c>
      <c r="M77" s="61">
        <f>IF(K77="",0,WORKDAY.INTL(L77,K77-1,p_weekend,p_holidays))</f>
        <v>0.0</v>
      </c>
      <c r="N77" s="62" t="str">
        <f>IF(OR(M77=0,N(F77)=0,G77="Terminé"),"",F77-M77)</f>
        <v/>
      </c>
      <c r="O77" s="58" t="str">
        <f>IF(B77="","",IF(G77="Annulé","Annulé",IF(G77="Terminé","Terminé",IF(M77=0,"À compléter",IF(N(F77)=0,"Sans échéance",IF(M77&gt;F77,"En retard",IF(F77-M77&lt;=p_margin,"Juste","À l'heure")))))))</f>
        <v/>
      </c>
      <c r="P77" s="55" t="n"/>
      <c r="Q77" s="63" t="str">
        <f>IF(OR(B77="",N(D77)&lt;=0),"",MIN(1,N(P77)/D77))</f>
        <v/>
      </c>
      <c r="R77" s="64" t="str">
        <f>IF(OR(J77="",ISNA(MATCH(I77,po_code,0))),"",ROUND(J77*N(INDEX(po_rate,MATCH(I77,po_code,0))),2))</f>
        <v/>
      </c>
      <c r="S77" s="58" t="str">
        <f>IF(AND(A77="",B77=""),"",IF(B77="","Référence manquante",IF(ISNA(MATCH($B77,art_ref,0)),"Référence inconnue",IF(N(D77)&lt;=0,"Quantité invalide",IF(AND(A77&lt;&gt;"",COUNTIF(of_num,A77)&gt;1),"N° OF en double",IF(G77="Annulé","OK",IF(I77="","Poste manquant (gamme)",IF(ISNA(MATCH(I77,po_code,0)),"Poste inconnu",IF(K77="","Capacité du poste nulle",IF(AND(H77&lt;&gt;"",N(H77)=0),"Début imposé invalide",IF(AND(N(H77)&gt;0,WORKDAY.INTL(H77-1,1,p_weekend,p_holidays)&lt;&gt;H77),"Début un jour chômé",IF(AND(N(H77)&gt;0,H77&lt;=SUMPRODUCT(MAX(($I$6:$I76=$I77)*$M$6:$M76))),"Chevauche l'OF précédent",IF(N(F77)=0,"Date de besoin manquante","OK")))))))))))))</f>
        <v/>
      </c>
      <c r="T77" s="65" t="str">
        <f>IF(K77="","",J77/K77)</f>
        <v/>
      </c>
      <c r="U77" s="66" t="str">
        <f>IF(OR(O77="En retard",O77="Juste"),COUNTIF($O$6:O77,"En retard")+COUNTIF($O$6:O77,"Juste"),"")</f>
        <v/>
      </c>
    </row>
    <row r="78">
      <c r="A78" s="53" t="n"/>
      <c r="B78" s="53" t="n"/>
      <c r="C78" s="54" t="str">
        <f>IF(B78="","",IFERROR(INDEX(art_des,MATCH($B78,art_ref,0)),"Référence inconnue"))</f>
        <v/>
      </c>
      <c r="D78" s="55" t="n"/>
      <c r="E78" s="53" t="n"/>
      <c r="F78" s="56" t="n"/>
      <c r="G78" s="57" t="n"/>
      <c r="H78" s="56" t="n"/>
      <c r="I78" s="58" t="str">
        <f>IF(B78="","",IFERROR(INDEX(art_poste,MATCH($B78,art_ref,0))&amp;"",""))</f>
        <v/>
      </c>
      <c r="J78" s="59" t="str">
        <f>IF(OR(B78="",G78="Annulé",N(D78)&lt;=0),"",IFERROR(ROUND(INDEX(art_setup,MATCH($B78,art_ref,0))+D78*INDEX(art_cycle,MATCH($B78,art_ref,0))/60,2),""))</f>
        <v/>
      </c>
      <c r="K78" s="60" t="str">
        <f>IF(J78="","",IFERROR(MAX(1,ROUNDUP(J78/INDEX(po_cap,MATCH(I78,po_code,0)),0)),""))</f>
        <v/>
      </c>
      <c r="L78" s="61">
        <f>IF(K78="",0,IF(N(H78)&gt;0,H78,WORKDAY.INTL(MAX(p_start-1,SUMPRODUCT(MAX(($I$6:$I77=$I78)*$M$6:$M77))),1,p_weekend,p_holidays)))</f>
        <v>0.0</v>
      </c>
      <c r="M78" s="61">
        <f>IF(K78="",0,WORKDAY.INTL(L78,K78-1,p_weekend,p_holidays))</f>
        <v>0.0</v>
      </c>
      <c r="N78" s="62" t="str">
        <f>IF(OR(M78=0,N(F78)=0,G78="Terminé"),"",F78-M78)</f>
        <v/>
      </c>
      <c r="O78" s="58" t="str">
        <f>IF(B78="","",IF(G78="Annulé","Annulé",IF(G78="Terminé","Terminé",IF(M78=0,"À compléter",IF(N(F78)=0,"Sans échéance",IF(M78&gt;F78,"En retard",IF(F78-M78&lt;=p_margin,"Juste","À l'heure")))))))</f>
        <v/>
      </c>
      <c r="P78" s="55" t="n"/>
      <c r="Q78" s="63" t="str">
        <f>IF(OR(B78="",N(D78)&lt;=0),"",MIN(1,N(P78)/D78))</f>
        <v/>
      </c>
      <c r="R78" s="64" t="str">
        <f>IF(OR(J78="",ISNA(MATCH(I78,po_code,0))),"",ROUND(J78*N(INDEX(po_rate,MATCH(I78,po_code,0))),2))</f>
        <v/>
      </c>
      <c r="S78" s="58" t="str">
        <f>IF(AND(A78="",B78=""),"",IF(B78="","Référence manquante",IF(ISNA(MATCH($B78,art_ref,0)),"Référence inconnue",IF(N(D78)&lt;=0,"Quantité invalide",IF(AND(A78&lt;&gt;"",COUNTIF(of_num,A78)&gt;1),"N° OF en double",IF(G78="Annulé","OK",IF(I78="","Poste manquant (gamme)",IF(ISNA(MATCH(I78,po_code,0)),"Poste inconnu",IF(K78="","Capacité du poste nulle",IF(AND(H78&lt;&gt;"",N(H78)=0),"Début imposé invalide",IF(AND(N(H78)&gt;0,WORKDAY.INTL(H78-1,1,p_weekend,p_holidays)&lt;&gt;H78),"Début un jour chômé",IF(AND(N(H78)&gt;0,H78&lt;=SUMPRODUCT(MAX(($I$6:$I77=$I78)*$M$6:$M77))),"Chevauche l'OF précédent",IF(N(F78)=0,"Date de besoin manquante","OK")))))))))))))</f>
        <v/>
      </c>
      <c r="T78" s="65" t="str">
        <f>IF(K78="","",J78/K78)</f>
        <v/>
      </c>
      <c r="U78" s="66" t="str">
        <f>IF(OR(O78="En retard",O78="Juste"),COUNTIF($O$6:O78,"En retard")+COUNTIF($O$6:O78,"Juste"),"")</f>
        <v/>
      </c>
    </row>
    <row r="79">
      <c r="A79" s="53" t="n"/>
      <c r="B79" s="53" t="n"/>
      <c r="C79" s="54" t="str">
        <f>IF(B79="","",IFERROR(INDEX(art_des,MATCH($B79,art_ref,0)),"Référence inconnue"))</f>
        <v/>
      </c>
      <c r="D79" s="55" t="n"/>
      <c r="E79" s="53" t="n"/>
      <c r="F79" s="56" t="n"/>
      <c r="G79" s="57" t="n"/>
      <c r="H79" s="56" t="n"/>
      <c r="I79" s="58" t="str">
        <f>IF(B79="","",IFERROR(INDEX(art_poste,MATCH($B79,art_ref,0))&amp;"",""))</f>
        <v/>
      </c>
      <c r="J79" s="59" t="str">
        <f>IF(OR(B79="",G79="Annulé",N(D79)&lt;=0),"",IFERROR(ROUND(INDEX(art_setup,MATCH($B79,art_ref,0))+D79*INDEX(art_cycle,MATCH($B79,art_ref,0))/60,2),""))</f>
        <v/>
      </c>
      <c r="K79" s="60" t="str">
        <f>IF(J79="","",IFERROR(MAX(1,ROUNDUP(J79/INDEX(po_cap,MATCH(I79,po_code,0)),0)),""))</f>
        <v/>
      </c>
      <c r="L79" s="61">
        <f>IF(K79="",0,IF(N(H79)&gt;0,H79,WORKDAY.INTL(MAX(p_start-1,SUMPRODUCT(MAX(($I$6:$I78=$I79)*$M$6:$M78))),1,p_weekend,p_holidays)))</f>
        <v>0.0</v>
      </c>
      <c r="M79" s="61">
        <f>IF(K79="",0,WORKDAY.INTL(L79,K79-1,p_weekend,p_holidays))</f>
        <v>0.0</v>
      </c>
      <c r="N79" s="62" t="str">
        <f>IF(OR(M79=0,N(F79)=0,G79="Terminé"),"",F79-M79)</f>
        <v/>
      </c>
      <c r="O79" s="58" t="str">
        <f>IF(B79="","",IF(G79="Annulé","Annulé",IF(G79="Terminé","Terminé",IF(M79=0,"À compléter",IF(N(F79)=0,"Sans échéance",IF(M79&gt;F79,"En retard",IF(F79-M79&lt;=p_margin,"Juste","À l'heure")))))))</f>
        <v/>
      </c>
      <c r="P79" s="55" t="n"/>
      <c r="Q79" s="63" t="str">
        <f>IF(OR(B79="",N(D79)&lt;=0),"",MIN(1,N(P79)/D79))</f>
        <v/>
      </c>
      <c r="R79" s="64" t="str">
        <f>IF(OR(J79="",ISNA(MATCH(I79,po_code,0))),"",ROUND(J79*N(INDEX(po_rate,MATCH(I79,po_code,0))),2))</f>
        <v/>
      </c>
      <c r="S79" s="58" t="str">
        <f>IF(AND(A79="",B79=""),"",IF(B79="","Référence manquante",IF(ISNA(MATCH($B79,art_ref,0)),"Référence inconnue",IF(N(D79)&lt;=0,"Quantité invalide",IF(AND(A79&lt;&gt;"",COUNTIF(of_num,A79)&gt;1),"N° OF en double",IF(G79="Annulé","OK",IF(I79="","Poste manquant (gamme)",IF(ISNA(MATCH(I79,po_code,0)),"Poste inconnu",IF(K79="","Capacité du poste nulle",IF(AND(H79&lt;&gt;"",N(H79)=0),"Début imposé invalide",IF(AND(N(H79)&gt;0,WORKDAY.INTL(H79-1,1,p_weekend,p_holidays)&lt;&gt;H79),"Début un jour chômé",IF(AND(N(H79)&gt;0,H79&lt;=SUMPRODUCT(MAX(($I$6:$I78=$I79)*$M$6:$M78))),"Chevauche l'OF précédent",IF(N(F79)=0,"Date de besoin manquante","OK")))))))))))))</f>
        <v/>
      </c>
      <c r="T79" s="65" t="str">
        <f>IF(K79="","",J79/K79)</f>
        <v/>
      </c>
      <c r="U79" s="66" t="str">
        <f>IF(OR(O79="En retard",O79="Juste"),COUNTIF($O$6:O79,"En retard")+COUNTIF($O$6:O79,"Juste"),"")</f>
        <v/>
      </c>
    </row>
    <row r="80">
      <c r="A80" s="53" t="n"/>
      <c r="B80" s="53" t="n"/>
      <c r="C80" s="54" t="str">
        <f>IF(B80="","",IFERROR(INDEX(art_des,MATCH($B80,art_ref,0)),"Référence inconnue"))</f>
        <v/>
      </c>
      <c r="D80" s="55" t="n"/>
      <c r="E80" s="53" t="n"/>
      <c r="F80" s="56" t="n"/>
      <c r="G80" s="57" t="n"/>
      <c r="H80" s="56" t="n"/>
      <c r="I80" s="58" t="str">
        <f>IF(B80="","",IFERROR(INDEX(art_poste,MATCH($B80,art_ref,0))&amp;"",""))</f>
        <v/>
      </c>
      <c r="J80" s="59" t="str">
        <f>IF(OR(B80="",G80="Annulé",N(D80)&lt;=0),"",IFERROR(ROUND(INDEX(art_setup,MATCH($B80,art_ref,0))+D80*INDEX(art_cycle,MATCH($B80,art_ref,0))/60,2),""))</f>
        <v/>
      </c>
      <c r="K80" s="60" t="str">
        <f>IF(J80="","",IFERROR(MAX(1,ROUNDUP(J80/INDEX(po_cap,MATCH(I80,po_code,0)),0)),""))</f>
        <v/>
      </c>
      <c r="L80" s="61">
        <f>IF(K80="",0,IF(N(H80)&gt;0,H80,WORKDAY.INTL(MAX(p_start-1,SUMPRODUCT(MAX(($I$6:$I79=$I80)*$M$6:$M79))),1,p_weekend,p_holidays)))</f>
        <v>0.0</v>
      </c>
      <c r="M80" s="61">
        <f>IF(K80="",0,WORKDAY.INTL(L80,K80-1,p_weekend,p_holidays))</f>
        <v>0.0</v>
      </c>
      <c r="N80" s="62" t="str">
        <f>IF(OR(M80=0,N(F80)=0,G80="Terminé"),"",F80-M80)</f>
        <v/>
      </c>
      <c r="O80" s="58" t="str">
        <f>IF(B80="","",IF(G80="Annulé","Annulé",IF(G80="Terminé","Terminé",IF(M80=0,"À compléter",IF(N(F80)=0,"Sans échéance",IF(M80&gt;F80,"En retard",IF(F80-M80&lt;=p_margin,"Juste","À l'heure")))))))</f>
        <v/>
      </c>
      <c r="P80" s="55" t="n"/>
      <c r="Q80" s="63" t="str">
        <f>IF(OR(B80="",N(D80)&lt;=0),"",MIN(1,N(P80)/D80))</f>
        <v/>
      </c>
      <c r="R80" s="64" t="str">
        <f>IF(OR(J80="",ISNA(MATCH(I80,po_code,0))),"",ROUND(J80*N(INDEX(po_rate,MATCH(I80,po_code,0))),2))</f>
        <v/>
      </c>
      <c r="S80" s="58" t="str">
        <f>IF(AND(A80="",B80=""),"",IF(B80="","Référence manquante",IF(ISNA(MATCH($B80,art_ref,0)),"Référence inconnue",IF(N(D80)&lt;=0,"Quantité invalide",IF(AND(A80&lt;&gt;"",COUNTIF(of_num,A80)&gt;1),"N° OF en double",IF(G80="Annulé","OK",IF(I80="","Poste manquant (gamme)",IF(ISNA(MATCH(I80,po_code,0)),"Poste inconnu",IF(K80="","Capacité du poste nulle",IF(AND(H80&lt;&gt;"",N(H80)=0),"Début imposé invalide",IF(AND(N(H80)&gt;0,WORKDAY.INTL(H80-1,1,p_weekend,p_holidays)&lt;&gt;H80),"Début un jour chômé",IF(AND(N(H80)&gt;0,H80&lt;=SUMPRODUCT(MAX(($I$6:$I79=$I80)*$M$6:$M79))),"Chevauche l'OF précédent",IF(N(F80)=0,"Date de besoin manquante","OK")))))))))))))</f>
        <v/>
      </c>
      <c r="T80" s="65" t="str">
        <f>IF(K80="","",J80/K80)</f>
        <v/>
      </c>
      <c r="U80" s="66" t="str">
        <f>IF(OR(O80="En retard",O80="Juste"),COUNTIF($O$6:O80,"En retard")+COUNTIF($O$6:O80,"Juste"),"")</f>
        <v/>
      </c>
    </row>
    <row r="81">
      <c r="A81" s="53" t="n"/>
      <c r="B81" s="53" t="n"/>
      <c r="C81" s="54" t="str">
        <f>IF(B81="","",IFERROR(INDEX(art_des,MATCH($B81,art_ref,0)),"Référence inconnue"))</f>
        <v/>
      </c>
      <c r="D81" s="55" t="n"/>
      <c r="E81" s="53" t="n"/>
      <c r="F81" s="56" t="n"/>
      <c r="G81" s="57" t="n"/>
      <c r="H81" s="56" t="n"/>
      <c r="I81" s="58" t="str">
        <f>IF(B81="","",IFERROR(INDEX(art_poste,MATCH($B81,art_ref,0))&amp;"",""))</f>
        <v/>
      </c>
      <c r="J81" s="59" t="str">
        <f>IF(OR(B81="",G81="Annulé",N(D81)&lt;=0),"",IFERROR(ROUND(INDEX(art_setup,MATCH($B81,art_ref,0))+D81*INDEX(art_cycle,MATCH($B81,art_ref,0))/60,2),""))</f>
        <v/>
      </c>
      <c r="K81" s="60" t="str">
        <f>IF(J81="","",IFERROR(MAX(1,ROUNDUP(J81/INDEX(po_cap,MATCH(I81,po_code,0)),0)),""))</f>
        <v/>
      </c>
      <c r="L81" s="61">
        <f>IF(K81="",0,IF(N(H81)&gt;0,H81,WORKDAY.INTL(MAX(p_start-1,SUMPRODUCT(MAX(($I$6:$I80=$I81)*$M$6:$M80))),1,p_weekend,p_holidays)))</f>
        <v>0.0</v>
      </c>
      <c r="M81" s="61">
        <f>IF(K81="",0,WORKDAY.INTL(L81,K81-1,p_weekend,p_holidays))</f>
        <v>0.0</v>
      </c>
      <c r="N81" s="62" t="str">
        <f>IF(OR(M81=0,N(F81)=0,G81="Terminé"),"",F81-M81)</f>
        <v/>
      </c>
      <c r="O81" s="58" t="str">
        <f>IF(B81="","",IF(G81="Annulé","Annulé",IF(G81="Terminé","Terminé",IF(M81=0,"À compléter",IF(N(F81)=0,"Sans échéance",IF(M81&gt;F81,"En retard",IF(F81-M81&lt;=p_margin,"Juste","À l'heure")))))))</f>
        <v/>
      </c>
      <c r="P81" s="55" t="n"/>
      <c r="Q81" s="63" t="str">
        <f>IF(OR(B81="",N(D81)&lt;=0),"",MIN(1,N(P81)/D81))</f>
        <v/>
      </c>
      <c r="R81" s="64" t="str">
        <f>IF(OR(J81="",ISNA(MATCH(I81,po_code,0))),"",ROUND(J81*N(INDEX(po_rate,MATCH(I81,po_code,0))),2))</f>
        <v/>
      </c>
      <c r="S81" s="58" t="str">
        <f>IF(AND(A81="",B81=""),"",IF(B81="","Référence manquante",IF(ISNA(MATCH($B81,art_ref,0)),"Référence inconnue",IF(N(D81)&lt;=0,"Quantité invalide",IF(AND(A81&lt;&gt;"",COUNTIF(of_num,A81)&gt;1),"N° OF en double",IF(G81="Annulé","OK",IF(I81="","Poste manquant (gamme)",IF(ISNA(MATCH(I81,po_code,0)),"Poste inconnu",IF(K81="","Capacité du poste nulle",IF(AND(H81&lt;&gt;"",N(H81)=0),"Début imposé invalide",IF(AND(N(H81)&gt;0,WORKDAY.INTL(H81-1,1,p_weekend,p_holidays)&lt;&gt;H81),"Début un jour chômé",IF(AND(N(H81)&gt;0,H81&lt;=SUMPRODUCT(MAX(($I$6:$I80=$I81)*$M$6:$M80))),"Chevauche l'OF précédent",IF(N(F81)=0,"Date de besoin manquante","OK")))))))))))))</f>
        <v/>
      </c>
      <c r="T81" s="65" t="str">
        <f>IF(K81="","",J81/K81)</f>
        <v/>
      </c>
      <c r="U81" s="66" t="str">
        <f>IF(OR(O81="En retard",O81="Juste"),COUNTIF($O$6:O81,"En retard")+COUNTIF($O$6:O81,"Juste"),"")</f>
        <v/>
      </c>
    </row>
    <row r="82">
      <c r="A82" s="53" t="n"/>
      <c r="B82" s="53" t="n"/>
      <c r="C82" s="54" t="str">
        <f>IF(B82="","",IFERROR(INDEX(art_des,MATCH($B82,art_ref,0)),"Référence inconnue"))</f>
        <v/>
      </c>
      <c r="D82" s="55" t="n"/>
      <c r="E82" s="53" t="n"/>
      <c r="F82" s="56" t="n"/>
      <c r="G82" s="57" t="n"/>
      <c r="H82" s="56" t="n"/>
      <c r="I82" s="58" t="str">
        <f>IF(B82="","",IFERROR(INDEX(art_poste,MATCH($B82,art_ref,0))&amp;"",""))</f>
        <v/>
      </c>
      <c r="J82" s="59" t="str">
        <f>IF(OR(B82="",G82="Annulé",N(D82)&lt;=0),"",IFERROR(ROUND(INDEX(art_setup,MATCH($B82,art_ref,0))+D82*INDEX(art_cycle,MATCH($B82,art_ref,0))/60,2),""))</f>
        <v/>
      </c>
      <c r="K82" s="60" t="str">
        <f>IF(J82="","",IFERROR(MAX(1,ROUNDUP(J82/INDEX(po_cap,MATCH(I82,po_code,0)),0)),""))</f>
        <v/>
      </c>
      <c r="L82" s="61">
        <f>IF(K82="",0,IF(N(H82)&gt;0,H82,WORKDAY.INTL(MAX(p_start-1,SUMPRODUCT(MAX(($I$6:$I81=$I82)*$M$6:$M81))),1,p_weekend,p_holidays)))</f>
        <v>0.0</v>
      </c>
      <c r="M82" s="61">
        <f>IF(K82="",0,WORKDAY.INTL(L82,K82-1,p_weekend,p_holidays))</f>
        <v>0.0</v>
      </c>
      <c r="N82" s="62" t="str">
        <f>IF(OR(M82=0,N(F82)=0,G82="Terminé"),"",F82-M82)</f>
        <v/>
      </c>
      <c r="O82" s="58" t="str">
        <f>IF(B82="","",IF(G82="Annulé","Annulé",IF(G82="Terminé","Terminé",IF(M82=0,"À compléter",IF(N(F82)=0,"Sans échéance",IF(M82&gt;F82,"En retard",IF(F82-M82&lt;=p_margin,"Juste","À l'heure")))))))</f>
        <v/>
      </c>
      <c r="P82" s="55" t="n"/>
      <c r="Q82" s="63" t="str">
        <f>IF(OR(B82="",N(D82)&lt;=0),"",MIN(1,N(P82)/D82))</f>
        <v/>
      </c>
      <c r="R82" s="64" t="str">
        <f>IF(OR(J82="",ISNA(MATCH(I82,po_code,0))),"",ROUND(J82*N(INDEX(po_rate,MATCH(I82,po_code,0))),2))</f>
        <v/>
      </c>
      <c r="S82" s="58" t="str">
        <f>IF(AND(A82="",B82=""),"",IF(B82="","Référence manquante",IF(ISNA(MATCH($B82,art_ref,0)),"Référence inconnue",IF(N(D82)&lt;=0,"Quantité invalide",IF(AND(A82&lt;&gt;"",COUNTIF(of_num,A82)&gt;1),"N° OF en double",IF(G82="Annulé","OK",IF(I82="","Poste manquant (gamme)",IF(ISNA(MATCH(I82,po_code,0)),"Poste inconnu",IF(K82="","Capacité du poste nulle",IF(AND(H82&lt;&gt;"",N(H82)=0),"Début imposé invalide",IF(AND(N(H82)&gt;0,WORKDAY.INTL(H82-1,1,p_weekend,p_holidays)&lt;&gt;H82),"Début un jour chômé",IF(AND(N(H82)&gt;0,H82&lt;=SUMPRODUCT(MAX(($I$6:$I81=$I82)*$M$6:$M81))),"Chevauche l'OF précédent",IF(N(F82)=0,"Date de besoin manquante","OK")))))))))))))</f>
        <v/>
      </c>
      <c r="T82" s="65" t="str">
        <f>IF(K82="","",J82/K82)</f>
        <v/>
      </c>
      <c r="U82" s="66" t="str">
        <f>IF(OR(O82="En retard",O82="Juste"),COUNTIF($O$6:O82,"En retard")+COUNTIF($O$6:O82,"Juste"),"")</f>
        <v/>
      </c>
    </row>
    <row r="83">
      <c r="A83" s="53" t="n"/>
      <c r="B83" s="53" t="n"/>
      <c r="C83" s="54" t="str">
        <f>IF(B83="","",IFERROR(INDEX(art_des,MATCH($B83,art_ref,0)),"Référence inconnue"))</f>
        <v/>
      </c>
      <c r="D83" s="55" t="n"/>
      <c r="E83" s="53" t="n"/>
      <c r="F83" s="56" t="n"/>
      <c r="G83" s="57" t="n"/>
      <c r="H83" s="56" t="n"/>
      <c r="I83" s="58" t="str">
        <f>IF(B83="","",IFERROR(INDEX(art_poste,MATCH($B83,art_ref,0))&amp;"",""))</f>
        <v/>
      </c>
      <c r="J83" s="59" t="str">
        <f>IF(OR(B83="",G83="Annulé",N(D83)&lt;=0),"",IFERROR(ROUND(INDEX(art_setup,MATCH($B83,art_ref,0))+D83*INDEX(art_cycle,MATCH($B83,art_ref,0))/60,2),""))</f>
        <v/>
      </c>
      <c r="K83" s="60" t="str">
        <f>IF(J83="","",IFERROR(MAX(1,ROUNDUP(J83/INDEX(po_cap,MATCH(I83,po_code,0)),0)),""))</f>
        <v/>
      </c>
      <c r="L83" s="61">
        <f>IF(K83="",0,IF(N(H83)&gt;0,H83,WORKDAY.INTL(MAX(p_start-1,SUMPRODUCT(MAX(($I$6:$I82=$I83)*$M$6:$M82))),1,p_weekend,p_holidays)))</f>
        <v>0.0</v>
      </c>
      <c r="M83" s="61">
        <f>IF(K83="",0,WORKDAY.INTL(L83,K83-1,p_weekend,p_holidays))</f>
        <v>0.0</v>
      </c>
      <c r="N83" s="62" t="str">
        <f>IF(OR(M83=0,N(F83)=0,G83="Terminé"),"",F83-M83)</f>
        <v/>
      </c>
      <c r="O83" s="58" t="str">
        <f>IF(B83="","",IF(G83="Annulé","Annulé",IF(G83="Terminé","Terminé",IF(M83=0,"À compléter",IF(N(F83)=0,"Sans échéance",IF(M83&gt;F83,"En retard",IF(F83-M83&lt;=p_margin,"Juste","À l'heure")))))))</f>
        <v/>
      </c>
      <c r="P83" s="55" t="n"/>
      <c r="Q83" s="63" t="str">
        <f>IF(OR(B83="",N(D83)&lt;=0),"",MIN(1,N(P83)/D83))</f>
        <v/>
      </c>
      <c r="R83" s="64" t="str">
        <f>IF(OR(J83="",ISNA(MATCH(I83,po_code,0))),"",ROUND(J83*N(INDEX(po_rate,MATCH(I83,po_code,0))),2))</f>
        <v/>
      </c>
      <c r="S83" s="58" t="str">
        <f>IF(AND(A83="",B83=""),"",IF(B83="","Référence manquante",IF(ISNA(MATCH($B83,art_ref,0)),"Référence inconnue",IF(N(D83)&lt;=0,"Quantité invalide",IF(AND(A83&lt;&gt;"",COUNTIF(of_num,A83)&gt;1),"N° OF en double",IF(G83="Annulé","OK",IF(I83="","Poste manquant (gamme)",IF(ISNA(MATCH(I83,po_code,0)),"Poste inconnu",IF(K83="","Capacité du poste nulle",IF(AND(H83&lt;&gt;"",N(H83)=0),"Début imposé invalide",IF(AND(N(H83)&gt;0,WORKDAY.INTL(H83-1,1,p_weekend,p_holidays)&lt;&gt;H83),"Début un jour chômé",IF(AND(N(H83)&gt;0,H83&lt;=SUMPRODUCT(MAX(($I$6:$I82=$I83)*$M$6:$M82))),"Chevauche l'OF précédent",IF(N(F83)=0,"Date de besoin manquante","OK")))))))))))))</f>
        <v/>
      </c>
      <c r="T83" s="65" t="str">
        <f>IF(K83="","",J83/K83)</f>
        <v/>
      </c>
      <c r="U83" s="66" t="str">
        <f>IF(OR(O83="En retard",O83="Juste"),COUNTIF($O$6:O83,"En retard")+COUNTIF($O$6:O83,"Juste"),"")</f>
        <v/>
      </c>
    </row>
    <row r="84">
      <c r="A84" s="53" t="n"/>
      <c r="B84" s="53" t="n"/>
      <c r="C84" s="54" t="str">
        <f>IF(B84="","",IFERROR(INDEX(art_des,MATCH($B84,art_ref,0)),"Référence inconnue"))</f>
        <v/>
      </c>
      <c r="D84" s="55" t="n"/>
      <c r="E84" s="53" t="n"/>
      <c r="F84" s="56" t="n"/>
      <c r="G84" s="57" t="n"/>
      <c r="H84" s="56" t="n"/>
      <c r="I84" s="58" t="str">
        <f>IF(B84="","",IFERROR(INDEX(art_poste,MATCH($B84,art_ref,0))&amp;"",""))</f>
        <v/>
      </c>
      <c r="J84" s="59" t="str">
        <f>IF(OR(B84="",G84="Annulé",N(D84)&lt;=0),"",IFERROR(ROUND(INDEX(art_setup,MATCH($B84,art_ref,0))+D84*INDEX(art_cycle,MATCH($B84,art_ref,0))/60,2),""))</f>
        <v/>
      </c>
      <c r="K84" s="60" t="str">
        <f>IF(J84="","",IFERROR(MAX(1,ROUNDUP(J84/INDEX(po_cap,MATCH(I84,po_code,0)),0)),""))</f>
        <v/>
      </c>
      <c r="L84" s="61">
        <f>IF(K84="",0,IF(N(H84)&gt;0,H84,WORKDAY.INTL(MAX(p_start-1,SUMPRODUCT(MAX(($I$6:$I83=$I84)*$M$6:$M83))),1,p_weekend,p_holidays)))</f>
        <v>0.0</v>
      </c>
      <c r="M84" s="61">
        <f>IF(K84="",0,WORKDAY.INTL(L84,K84-1,p_weekend,p_holidays))</f>
        <v>0.0</v>
      </c>
      <c r="N84" s="62" t="str">
        <f>IF(OR(M84=0,N(F84)=0,G84="Terminé"),"",F84-M84)</f>
        <v/>
      </c>
      <c r="O84" s="58" t="str">
        <f>IF(B84="","",IF(G84="Annulé","Annulé",IF(G84="Terminé","Terminé",IF(M84=0,"À compléter",IF(N(F84)=0,"Sans échéance",IF(M84&gt;F84,"En retard",IF(F84-M84&lt;=p_margin,"Juste","À l'heure")))))))</f>
        <v/>
      </c>
      <c r="P84" s="55" t="n"/>
      <c r="Q84" s="63" t="str">
        <f>IF(OR(B84="",N(D84)&lt;=0),"",MIN(1,N(P84)/D84))</f>
        <v/>
      </c>
      <c r="R84" s="64" t="str">
        <f>IF(OR(J84="",ISNA(MATCH(I84,po_code,0))),"",ROUND(J84*N(INDEX(po_rate,MATCH(I84,po_code,0))),2))</f>
        <v/>
      </c>
      <c r="S84" s="58" t="str">
        <f>IF(AND(A84="",B84=""),"",IF(B84="","Référence manquante",IF(ISNA(MATCH($B84,art_ref,0)),"Référence inconnue",IF(N(D84)&lt;=0,"Quantité invalide",IF(AND(A84&lt;&gt;"",COUNTIF(of_num,A84)&gt;1),"N° OF en double",IF(G84="Annulé","OK",IF(I84="","Poste manquant (gamme)",IF(ISNA(MATCH(I84,po_code,0)),"Poste inconnu",IF(K84="","Capacité du poste nulle",IF(AND(H84&lt;&gt;"",N(H84)=0),"Début imposé invalide",IF(AND(N(H84)&gt;0,WORKDAY.INTL(H84-1,1,p_weekend,p_holidays)&lt;&gt;H84),"Début un jour chômé",IF(AND(N(H84)&gt;0,H84&lt;=SUMPRODUCT(MAX(($I$6:$I83=$I84)*$M$6:$M83))),"Chevauche l'OF précédent",IF(N(F84)=0,"Date de besoin manquante","OK")))))))))))))</f>
        <v/>
      </c>
      <c r="T84" s="65" t="str">
        <f>IF(K84="","",J84/K84)</f>
        <v/>
      </c>
      <c r="U84" s="66" t="str">
        <f>IF(OR(O84="En retard",O84="Juste"),COUNTIF($O$6:O84,"En retard")+COUNTIF($O$6:O84,"Juste"),"")</f>
        <v/>
      </c>
    </row>
    <row r="85">
      <c r="A85" s="53" t="n"/>
      <c r="B85" s="53" t="n"/>
      <c r="C85" s="54" t="str">
        <f>IF(B85="","",IFERROR(INDEX(art_des,MATCH($B85,art_ref,0)),"Référence inconnue"))</f>
        <v/>
      </c>
      <c r="D85" s="55" t="n"/>
      <c r="E85" s="53" t="n"/>
      <c r="F85" s="56" t="n"/>
      <c r="G85" s="57" t="n"/>
      <c r="H85" s="56" t="n"/>
      <c r="I85" s="58" t="str">
        <f>IF(B85="","",IFERROR(INDEX(art_poste,MATCH($B85,art_ref,0))&amp;"",""))</f>
        <v/>
      </c>
      <c r="J85" s="59" t="str">
        <f>IF(OR(B85="",G85="Annulé",N(D85)&lt;=0),"",IFERROR(ROUND(INDEX(art_setup,MATCH($B85,art_ref,0))+D85*INDEX(art_cycle,MATCH($B85,art_ref,0))/60,2),""))</f>
        <v/>
      </c>
      <c r="K85" s="60" t="str">
        <f>IF(J85="","",IFERROR(MAX(1,ROUNDUP(J85/INDEX(po_cap,MATCH(I85,po_code,0)),0)),""))</f>
        <v/>
      </c>
      <c r="L85" s="61">
        <f>IF(K85="",0,IF(N(H85)&gt;0,H85,WORKDAY.INTL(MAX(p_start-1,SUMPRODUCT(MAX(($I$6:$I84=$I85)*$M$6:$M84))),1,p_weekend,p_holidays)))</f>
        <v>0.0</v>
      </c>
      <c r="M85" s="61">
        <f>IF(K85="",0,WORKDAY.INTL(L85,K85-1,p_weekend,p_holidays))</f>
        <v>0.0</v>
      </c>
      <c r="N85" s="62" t="str">
        <f>IF(OR(M85=0,N(F85)=0,G85="Terminé"),"",F85-M85)</f>
        <v/>
      </c>
      <c r="O85" s="58" t="str">
        <f>IF(B85="","",IF(G85="Annulé","Annulé",IF(G85="Terminé","Terminé",IF(M85=0,"À compléter",IF(N(F85)=0,"Sans échéance",IF(M85&gt;F85,"En retard",IF(F85-M85&lt;=p_margin,"Juste","À l'heure")))))))</f>
        <v/>
      </c>
      <c r="P85" s="55" t="n"/>
      <c r="Q85" s="63" t="str">
        <f>IF(OR(B85="",N(D85)&lt;=0),"",MIN(1,N(P85)/D85))</f>
        <v/>
      </c>
      <c r="R85" s="64" t="str">
        <f>IF(OR(J85="",ISNA(MATCH(I85,po_code,0))),"",ROUND(J85*N(INDEX(po_rate,MATCH(I85,po_code,0))),2))</f>
        <v/>
      </c>
      <c r="S85" s="58" t="str">
        <f>IF(AND(A85="",B85=""),"",IF(B85="","Référence manquante",IF(ISNA(MATCH($B85,art_ref,0)),"Référence inconnue",IF(N(D85)&lt;=0,"Quantité invalide",IF(AND(A85&lt;&gt;"",COUNTIF(of_num,A85)&gt;1),"N° OF en double",IF(G85="Annulé","OK",IF(I85="","Poste manquant (gamme)",IF(ISNA(MATCH(I85,po_code,0)),"Poste inconnu",IF(K85="","Capacité du poste nulle",IF(AND(H85&lt;&gt;"",N(H85)=0),"Début imposé invalide",IF(AND(N(H85)&gt;0,WORKDAY.INTL(H85-1,1,p_weekend,p_holidays)&lt;&gt;H85),"Début un jour chômé",IF(AND(N(H85)&gt;0,H85&lt;=SUMPRODUCT(MAX(($I$6:$I84=$I85)*$M$6:$M84))),"Chevauche l'OF précédent",IF(N(F85)=0,"Date de besoin manquante","OK")))))))))))))</f>
        <v/>
      </c>
      <c r="T85" s="65" t="str">
        <f>IF(K85="","",J85/K85)</f>
        <v/>
      </c>
      <c r="U85" s="66" t="str">
        <f>IF(OR(O85="En retard",O85="Juste"),COUNTIF($O$6:O85,"En retard")+COUNTIF($O$6:O85,"Juste"),"")</f>
        <v/>
      </c>
    </row>
    <row r="86">
      <c r="A86" s="53" t="n"/>
      <c r="B86" s="53" t="n"/>
      <c r="C86" s="54" t="str">
        <f>IF(B86="","",IFERROR(INDEX(art_des,MATCH($B86,art_ref,0)),"Référence inconnue"))</f>
        <v/>
      </c>
      <c r="D86" s="55" t="n"/>
      <c r="E86" s="53" t="n"/>
      <c r="F86" s="56" t="n"/>
      <c r="G86" s="57" t="n"/>
      <c r="H86" s="56" t="n"/>
      <c r="I86" s="58" t="str">
        <f>IF(B86="","",IFERROR(INDEX(art_poste,MATCH($B86,art_ref,0))&amp;"",""))</f>
        <v/>
      </c>
      <c r="J86" s="59" t="str">
        <f>IF(OR(B86="",G86="Annulé",N(D86)&lt;=0),"",IFERROR(ROUND(INDEX(art_setup,MATCH($B86,art_ref,0))+D86*INDEX(art_cycle,MATCH($B86,art_ref,0))/60,2),""))</f>
        <v/>
      </c>
      <c r="K86" s="60" t="str">
        <f>IF(J86="","",IFERROR(MAX(1,ROUNDUP(J86/INDEX(po_cap,MATCH(I86,po_code,0)),0)),""))</f>
        <v/>
      </c>
      <c r="L86" s="61">
        <f>IF(K86="",0,IF(N(H86)&gt;0,H86,WORKDAY.INTL(MAX(p_start-1,SUMPRODUCT(MAX(($I$6:$I85=$I86)*$M$6:$M85))),1,p_weekend,p_holidays)))</f>
        <v>0.0</v>
      </c>
      <c r="M86" s="61">
        <f>IF(K86="",0,WORKDAY.INTL(L86,K86-1,p_weekend,p_holidays))</f>
        <v>0.0</v>
      </c>
      <c r="N86" s="62" t="str">
        <f>IF(OR(M86=0,N(F86)=0,G86="Terminé"),"",F86-M86)</f>
        <v/>
      </c>
      <c r="O86" s="58" t="str">
        <f>IF(B86="","",IF(G86="Annulé","Annulé",IF(G86="Terminé","Terminé",IF(M86=0,"À compléter",IF(N(F86)=0,"Sans échéance",IF(M86&gt;F86,"En retard",IF(F86-M86&lt;=p_margin,"Juste","À l'heure")))))))</f>
        <v/>
      </c>
      <c r="P86" s="55" t="n"/>
      <c r="Q86" s="63" t="str">
        <f>IF(OR(B86="",N(D86)&lt;=0),"",MIN(1,N(P86)/D86))</f>
        <v/>
      </c>
      <c r="R86" s="64" t="str">
        <f>IF(OR(J86="",ISNA(MATCH(I86,po_code,0))),"",ROUND(J86*N(INDEX(po_rate,MATCH(I86,po_code,0))),2))</f>
        <v/>
      </c>
      <c r="S86" s="58" t="str">
        <f>IF(AND(A86="",B86=""),"",IF(B86="","Référence manquante",IF(ISNA(MATCH($B86,art_ref,0)),"Référence inconnue",IF(N(D86)&lt;=0,"Quantité invalide",IF(AND(A86&lt;&gt;"",COUNTIF(of_num,A86)&gt;1),"N° OF en double",IF(G86="Annulé","OK",IF(I86="","Poste manquant (gamme)",IF(ISNA(MATCH(I86,po_code,0)),"Poste inconnu",IF(K86="","Capacité du poste nulle",IF(AND(H86&lt;&gt;"",N(H86)=0),"Début imposé invalide",IF(AND(N(H86)&gt;0,WORKDAY.INTL(H86-1,1,p_weekend,p_holidays)&lt;&gt;H86),"Début un jour chômé",IF(AND(N(H86)&gt;0,H86&lt;=SUMPRODUCT(MAX(($I$6:$I85=$I86)*$M$6:$M85))),"Chevauche l'OF précédent",IF(N(F86)=0,"Date de besoin manquante","OK")))))))))))))</f>
        <v/>
      </c>
      <c r="T86" s="65" t="str">
        <f>IF(K86="","",J86/K86)</f>
        <v/>
      </c>
      <c r="U86" s="66" t="str">
        <f>IF(OR(O86="En retard",O86="Juste"),COUNTIF($O$6:O86,"En retard")+COUNTIF($O$6:O86,"Juste"),"")</f>
        <v/>
      </c>
    </row>
    <row r="87">
      <c r="A87" s="53" t="n"/>
      <c r="B87" s="53" t="n"/>
      <c r="C87" s="54" t="str">
        <f>IF(B87="","",IFERROR(INDEX(art_des,MATCH($B87,art_ref,0)),"Référence inconnue"))</f>
        <v/>
      </c>
      <c r="D87" s="55" t="n"/>
      <c r="E87" s="53" t="n"/>
      <c r="F87" s="56" t="n"/>
      <c r="G87" s="57" t="n"/>
      <c r="H87" s="56" t="n"/>
      <c r="I87" s="58" t="str">
        <f>IF(B87="","",IFERROR(INDEX(art_poste,MATCH($B87,art_ref,0))&amp;"",""))</f>
        <v/>
      </c>
      <c r="J87" s="59" t="str">
        <f>IF(OR(B87="",G87="Annulé",N(D87)&lt;=0),"",IFERROR(ROUND(INDEX(art_setup,MATCH($B87,art_ref,0))+D87*INDEX(art_cycle,MATCH($B87,art_ref,0))/60,2),""))</f>
        <v/>
      </c>
      <c r="K87" s="60" t="str">
        <f>IF(J87="","",IFERROR(MAX(1,ROUNDUP(J87/INDEX(po_cap,MATCH(I87,po_code,0)),0)),""))</f>
        <v/>
      </c>
      <c r="L87" s="61">
        <f>IF(K87="",0,IF(N(H87)&gt;0,H87,WORKDAY.INTL(MAX(p_start-1,SUMPRODUCT(MAX(($I$6:$I86=$I87)*$M$6:$M86))),1,p_weekend,p_holidays)))</f>
        <v>0.0</v>
      </c>
      <c r="M87" s="61">
        <f>IF(K87="",0,WORKDAY.INTL(L87,K87-1,p_weekend,p_holidays))</f>
        <v>0.0</v>
      </c>
      <c r="N87" s="62" t="str">
        <f>IF(OR(M87=0,N(F87)=0,G87="Terminé"),"",F87-M87)</f>
        <v/>
      </c>
      <c r="O87" s="58" t="str">
        <f>IF(B87="","",IF(G87="Annulé","Annulé",IF(G87="Terminé","Terminé",IF(M87=0,"À compléter",IF(N(F87)=0,"Sans échéance",IF(M87&gt;F87,"En retard",IF(F87-M87&lt;=p_margin,"Juste","À l'heure")))))))</f>
        <v/>
      </c>
      <c r="P87" s="55" t="n"/>
      <c r="Q87" s="63" t="str">
        <f>IF(OR(B87="",N(D87)&lt;=0),"",MIN(1,N(P87)/D87))</f>
        <v/>
      </c>
      <c r="R87" s="64" t="str">
        <f>IF(OR(J87="",ISNA(MATCH(I87,po_code,0))),"",ROUND(J87*N(INDEX(po_rate,MATCH(I87,po_code,0))),2))</f>
        <v/>
      </c>
      <c r="S87" s="58" t="str">
        <f>IF(AND(A87="",B87=""),"",IF(B87="","Référence manquante",IF(ISNA(MATCH($B87,art_ref,0)),"Référence inconnue",IF(N(D87)&lt;=0,"Quantité invalide",IF(AND(A87&lt;&gt;"",COUNTIF(of_num,A87)&gt;1),"N° OF en double",IF(G87="Annulé","OK",IF(I87="","Poste manquant (gamme)",IF(ISNA(MATCH(I87,po_code,0)),"Poste inconnu",IF(K87="","Capacité du poste nulle",IF(AND(H87&lt;&gt;"",N(H87)=0),"Début imposé invalide",IF(AND(N(H87)&gt;0,WORKDAY.INTL(H87-1,1,p_weekend,p_holidays)&lt;&gt;H87),"Début un jour chômé",IF(AND(N(H87)&gt;0,H87&lt;=SUMPRODUCT(MAX(($I$6:$I86=$I87)*$M$6:$M86))),"Chevauche l'OF précédent",IF(N(F87)=0,"Date de besoin manquante","OK")))))))))))))</f>
        <v/>
      </c>
      <c r="T87" s="65" t="str">
        <f>IF(K87="","",J87/K87)</f>
        <v/>
      </c>
      <c r="U87" s="66" t="str">
        <f>IF(OR(O87="En retard",O87="Juste"),COUNTIF($O$6:O87,"En retard")+COUNTIF($O$6:O87,"Juste"),"")</f>
        <v/>
      </c>
    </row>
    <row r="88">
      <c r="A88" s="53" t="n"/>
      <c r="B88" s="53" t="n"/>
      <c r="C88" s="54" t="str">
        <f>IF(B88="","",IFERROR(INDEX(art_des,MATCH($B88,art_ref,0)),"Référence inconnue"))</f>
        <v/>
      </c>
      <c r="D88" s="55" t="n"/>
      <c r="E88" s="53" t="n"/>
      <c r="F88" s="56" t="n"/>
      <c r="G88" s="57" t="n"/>
      <c r="H88" s="56" t="n"/>
      <c r="I88" s="58" t="str">
        <f>IF(B88="","",IFERROR(INDEX(art_poste,MATCH($B88,art_ref,0))&amp;"",""))</f>
        <v/>
      </c>
      <c r="J88" s="59" t="str">
        <f>IF(OR(B88="",G88="Annulé",N(D88)&lt;=0),"",IFERROR(ROUND(INDEX(art_setup,MATCH($B88,art_ref,0))+D88*INDEX(art_cycle,MATCH($B88,art_ref,0))/60,2),""))</f>
        <v/>
      </c>
      <c r="K88" s="60" t="str">
        <f>IF(J88="","",IFERROR(MAX(1,ROUNDUP(J88/INDEX(po_cap,MATCH(I88,po_code,0)),0)),""))</f>
        <v/>
      </c>
      <c r="L88" s="61">
        <f>IF(K88="",0,IF(N(H88)&gt;0,H88,WORKDAY.INTL(MAX(p_start-1,SUMPRODUCT(MAX(($I$6:$I87=$I88)*$M$6:$M87))),1,p_weekend,p_holidays)))</f>
        <v>0.0</v>
      </c>
      <c r="M88" s="61">
        <f>IF(K88="",0,WORKDAY.INTL(L88,K88-1,p_weekend,p_holidays))</f>
        <v>0.0</v>
      </c>
      <c r="N88" s="62" t="str">
        <f>IF(OR(M88=0,N(F88)=0,G88="Terminé"),"",F88-M88)</f>
        <v/>
      </c>
      <c r="O88" s="58" t="str">
        <f>IF(B88="","",IF(G88="Annulé","Annulé",IF(G88="Terminé","Terminé",IF(M88=0,"À compléter",IF(N(F88)=0,"Sans échéance",IF(M88&gt;F88,"En retard",IF(F88-M88&lt;=p_margin,"Juste","À l'heure")))))))</f>
        <v/>
      </c>
      <c r="P88" s="55" t="n"/>
      <c r="Q88" s="63" t="str">
        <f>IF(OR(B88="",N(D88)&lt;=0),"",MIN(1,N(P88)/D88))</f>
        <v/>
      </c>
      <c r="R88" s="64" t="str">
        <f>IF(OR(J88="",ISNA(MATCH(I88,po_code,0))),"",ROUND(J88*N(INDEX(po_rate,MATCH(I88,po_code,0))),2))</f>
        <v/>
      </c>
      <c r="S88" s="58" t="str">
        <f>IF(AND(A88="",B88=""),"",IF(B88="","Référence manquante",IF(ISNA(MATCH($B88,art_ref,0)),"Référence inconnue",IF(N(D88)&lt;=0,"Quantité invalide",IF(AND(A88&lt;&gt;"",COUNTIF(of_num,A88)&gt;1),"N° OF en double",IF(G88="Annulé","OK",IF(I88="","Poste manquant (gamme)",IF(ISNA(MATCH(I88,po_code,0)),"Poste inconnu",IF(K88="","Capacité du poste nulle",IF(AND(H88&lt;&gt;"",N(H88)=0),"Début imposé invalide",IF(AND(N(H88)&gt;0,WORKDAY.INTL(H88-1,1,p_weekend,p_holidays)&lt;&gt;H88),"Début un jour chômé",IF(AND(N(H88)&gt;0,H88&lt;=SUMPRODUCT(MAX(($I$6:$I87=$I88)*$M$6:$M87))),"Chevauche l'OF précédent",IF(N(F88)=0,"Date de besoin manquante","OK")))))))))))))</f>
        <v/>
      </c>
      <c r="T88" s="65" t="str">
        <f>IF(K88="","",J88/K88)</f>
        <v/>
      </c>
      <c r="U88" s="66" t="str">
        <f>IF(OR(O88="En retard",O88="Juste"),COUNTIF($O$6:O88,"En retard")+COUNTIF($O$6:O88,"Juste"),"")</f>
        <v/>
      </c>
    </row>
    <row r="89">
      <c r="A89" s="53" t="n"/>
      <c r="B89" s="53" t="n"/>
      <c r="C89" s="54" t="str">
        <f>IF(B89="","",IFERROR(INDEX(art_des,MATCH($B89,art_ref,0)),"Référence inconnue"))</f>
        <v/>
      </c>
      <c r="D89" s="55" t="n"/>
      <c r="E89" s="53" t="n"/>
      <c r="F89" s="56" t="n"/>
      <c r="G89" s="57" t="n"/>
      <c r="H89" s="56" t="n"/>
      <c r="I89" s="58" t="str">
        <f>IF(B89="","",IFERROR(INDEX(art_poste,MATCH($B89,art_ref,0))&amp;"",""))</f>
        <v/>
      </c>
      <c r="J89" s="59" t="str">
        <f>IF(OR(B89="",G89="Annulé",N(D89)&lt;=0),"",IFERROR(ROUND(INDEX(art_setup,MATCH($B89,art_ref,0))+D89*INDEX(art_cycle,MATCH($B89,art_ref,0))/60,2),""))</f>
        <v/>
      </c>
      <c r="K89" s="60" t="str">
        <f>IF(J89="","",IFERROR(MAX(1,ROUNDUP(J89/INDEX(po_cap,MATCH(I89,po_code,0)),0)),""))</f>
        <v/>
      </c>
      <c r="L89" s="61">
        <f>IF(K89="",0,IF(N(H89)&gt;0,H89,WORKDAY.INTL(MAX(p_start-1,SUMPRODUCT(MAX(($I$6:$I88=$I89)*$M$6:$M88))),1,p_weekend,p_holidays)))</f>
        <v>0.0</v>
      </c>
      <c r="M89" s="61">
        <f>IF(K89="",0,WORKDAY.INTL(L89,K89-1,p_weekend,p_holidays))</f>
        <v>0.0</v>
      </c>
      <c r="N89" s="62" t="str">
        <f>IF(OR(M89=0,N(F89)=0,G89="Terminé"),"",F89-M89)</f>
        <v/>
      </c>
      <c r="O89" s="58" t="str">
        <f>IF(B89="","",IF(G89="Annulé","Annulé",IF(G89="Terminé","Terminé",IF(M89=0,"À compléter",IF(N(F89)=0,"Sans échéance",IF(M89&gt;F89,"En retard",IF(F89-M89&lt;=p_margin,"Juste","À l'heure")))))))</f>
        <v/>
      </c>
      <c r="P89" s="55" t="n"/>
      <c r="Q89" s="63" t="str">
        <f>IF(OR(B89="",N(D89)&lt;=0),"",MIN(1,N(P89)/D89))</f>
        <v/>
      </c>
      <c r="R89" s="64" t="str">
        <f>IF(OR(J89="",ISNA(MATCH(I89,po_code,0))),"",ROUND(J89*N(INDEX(po_rate,MATCH(I89,po_code,0))),2))</f>
        <v/>
      </c>
      <c r="S89" s="58" t="str">
        <f>IF(AND(A89="",B89=""),"",IF(B89="","Référence manquante",IF(ISNA(MATCH($B89,art_ref,0)),"Référence inconnue",IF(N(D89)&lt;=0,"Quantité invalide",IF(AND(A89&lt;&gt;"",COUNTIF(of_num,A89)&gt;1),"N° OF en double",IF(G89="Annulé","OK",IF(I89="","Poste manquant (gamme)",IF(ISNA(MATCH(I89,po_code,0)),"Poste inconnu",IF(K89="","Capacité du poste nulle",IF(AND(H89&lt;&gt;"",N(H89)=0),"Début imposé invalide",IF(AND(N(H89)&gt;0,WORKDAY.INTL(H89-1,1,p_weekend,p_holidays)&lt;&gt;H89),"Début un jour chômé",IF(AND(N(H89)&gt;0,H89&lt;=SUMPRODUCT(MAX(($I$6:$I88=$I89)*$M$6:$M88))),"Chevauche l'OF précédent",IF(N(F89)=0,"Date de besoin manquante","OK")))))))))))))</f>
        <v/>
      </c>
      <c r="T89" s="65" t="str">
        <f>IF(K89="","",J89/K89)</f>
        <v/>
      </c>
      <c r="U89" s="66" t="str">
        <f>IF(OR(O89="En retard",O89="Juste"),COUNTIF($O$6:O89,"En retard")+COUNTIF($O$6:O89,"Juste"),"")</f>
        <v/>
      </c>
    </row>
    <row r="90">
      <c r="A90" s="53" t="n"/>
      <c r="B90" s="53" t="n"/>
      <c r="C90" s="54" t="str">
        <f>IF(B90="","",IFERROR(INDEX(art_des,MATCH($B90,art_ref,0)),"Référence inconnue"))</f>
        <v/>
      </c>
      <c r="D90" s="55" t="n"/>
      <c r="E90" s="53" t="n"/>
      <c r="F90" s="56" t="n"/>
      <c r="G90" s="57" t="n"/>
      <c r="H90" s="56" t="n"/>
      <c r="I90" s="58" t="str">
        <f>IF(B90="","",IFERROR(INDEX(art_poste,MATCH($B90,art_ref,0))&amp;"",""))</f>
        <v/>
      </c>
      <c r="J90" s="59" t="str">
        <f>IF(OR(B90="",G90="Annulé",N(D90)&lt;=0),"",IFERROR(ROUND(INDEX(art_setup,MATCH($B90,art_ref,0))+D90*INDEX(art_cycle,MATCH($B90,art_ref,0))/60,2),""))</f>
        <v/>
      </c>
      <c r="K90" s="60" t="str">
        <f>IF(J90="","",IFERROR(MAX(1,ROUNDUP(J90/INDEX(po_cap,MATCH(I90,po_code,0)),0)),""))</f>
        <v/>
      </c>
      <c r="L90" s="61">
        <f>IF(K90="",0,IF(N(H90)&gt;0,H90,WORKDAY.INTL(MAX(p_start-1,SUMPRODUCT(MAX(($I$6:$I89=$I90)*$M$6:$M89))),1,p_weekend,p_holidays)))</f>
        <v>0.0</v>
      </c>
      <c r="M90" s="61">
        <f>IF(K90="",0,WORKDAY.INTL(L90,K90-1,p_weekend,p_holidays))</f>
        <v>0.0</v>
      </c>
      <c r="N90" s="62" t="str">
        <f>IF(OR(M90=0,N(F90)=0,G90="Terminé"),"",F90-M90)</f>
        <v/>
      </c>
      <c r="O90" s="58" t="str">
        <f>IF(B90="","",IF(G90="Annulé","Annulé",IF(G90="Terminé","Terminé",IF(M90=0,"À compléter",IF(N(F90)=0,"Sans échéance",IF(M90&gt;F90,"En retard",IF(F90-M90&lt;=p_margin,"Juste","À l'heure")))))))</f>
        <v/>
      </c>
      <c r="P90" s="55" t="n"/>
      <c r="Q90" s="63" t="str">
        <f>IF(OR(B90="",N(D90)&lt;=0),"",MIN(1,N(P90)/D90))</f>
        <v/>
      </c>
      <c r="R90" s="64" t="str">
        <f>IF(OR(J90="",ISNA(MATCH(I90,po_code,0))),"",ROUND(J90*N(INDEX(po_rate,MATCH(I90,po_code,0))),2))</f>
        <v/>
      </c>
      <c r="S90" s="58" t="str">
        <f>IF(AND(A90="",B90=""),"",IF(B90="","Référence manquante",IF(ISNA(MATCH($B90,art_ref,0)),"Référence inconnue",IF(N(D90)&lt;=0,"Quantité invalide",IF(AND(A90&lt;&gt;"",COUNTIF(of_num,A90)&gt;1),"N° OF en double",IF(G90="Annulé","OK",IF(I90="","Poste manquant (gamme)",IF(ISNA(MATCH(I90,po_code,0)),"Poste inconnu",IF(K90="","Capacité du poste nulle",IF(AND(H90&lt;&gt;"",N(H90)=0),"Début imposé invalide",IF(AND(N(H90)&gt;0,WORKDAY.INTL(H90-1,1,p_weekend,p_holidays)&lt;&gt;H90),"Début un jour chômé",IF(AND(N(H90)&gt;0,H90&lt;=SUMPRODUCT(MAX(($I$6:$I89=$I90)*$M$6:$M89))),"Chevauche l'OF précédent",IF(N(F90)=0,"Date de besoin manquante","OK")))))))))))))</f>
        <v/>
      </c>
      <c r="T90" s="65" t="str">
        <f>IF(K90="","",J90/K90)</f>
        <v/>
      </c>
      <c r="U90" s="66" t="str">
        <f>IF(OR(O90="En retard",O90="Juste"),COUNTIF($O$6:O90,"En retard")+COUNTIF($O$6:O90,"Juste"),"")</f>
        <v/>
      </c>
    </row>
    <row r="91">
      <c r="A91" s="53" t="n"/>
      <c r="B91" s="53" t="n"/>
      <c r="C91" s="54" t="str">
        <f>IF(B91="","",IFERROR(INDEX(art_des,MATCH($B91,art_ref,0)),"Référence inconnue"))</f>
        <v/>
      </c>
      <c r="D91" s="55" t="n"/>
      <c r="E91" s="53" t="n"/>
      <c r="F91" s="56" t="n"/>
      <c r="G91" s="57" t="n"/>
      <c r="H91" s="56" t="n"/>
      <c r="I91" s="58" t="str">
        <f>IF(B91="","",IFERROR(INDEX(art_poste,MATCH($B91,art_ref,0))&amp;"",""))</f>
        <v/>
      </c>
      <c r="J91" s="59" t="str">
        <f>IF(OR(B91="",G91="Annulé",N(D91)&lt;=0),"",IFERROR(ROUND(INDEX(art_setup,MATCH($B91,art_ref,0))+D91*INDEX(art_cycle,MATCH($B91,art_ref,0))/60,2),""))</f>
        <v/>
      </c>
      <c r="K91" s="60" t="str">
        <f>IF(J91="","",IFERROR(MAX(1,ROUNDUP(J91/INDEX(po_cap,MATCH(I91,po_code,0)),0)),""))</f>
        <v/>
      </c>
      <c r="L91" s="61">
        <f>IF(K91="",0,IF(N(H91)&gt;0,H91,WORKDAY.INTL(MAX(p_start-1,SUMPRODUCT(MAX(($I$6:$I90=$I91)*$M$6:$M90))),1,p_weekend,p_holidays)))</f>
        <v>0.0</v>
      </c>
      <c r="M91" s="61">
        <f>IF(K91="",0,WORKDAY.INTL(L91,K91-1,p_weekend,p_holidays))</f>
        <v>0.0</v>
      </c>
      <c r="N91" s="62" t="str">
        <f>IF(OR(M91=0,N(F91)=0,G91="Terminé"),"",F91-M91)</f>
        <v/>
      </c>
      <c r="O91" s="58" t="str">
        <f>IF(B91="","",IF(G91="Annulé","Annulé",IF(G91="Terminé","Terminé",IF(M91=0,"À compléter",IF(N(F91)=0,"Sans échéance",IF(M91&gt;F91,"En retard",IF(F91-M91&lt;=p_margin,"Juste","À l'heure")))))))</f>
        <v/>
      </c>
      <c r="P91" s="55" t="n"/>
      <c r="Q91" s="63" t="str">
        <f>IF(OR(B91="",N(D91)&lt;=0),"",MIN(1,N(P91)/D91))</f>
        <v/>
      </c>
      <c r="R91" s="64" t="str">
        <f>IF(OR(J91="",ISNA(MATCH(I91,po_code,0))),"",ROUND(J91*N(INDEX(po_rate,MATCH(I91,po_code,0))),2))</f>
        <v/>
      </c>
      <c r="S91" s="58" t="str">
        <f>IF(AND(A91="",B91=""),"",IF(B91="","Référence manquante",IF(ISNA(MATCH($B91,art_ref,0)),"Référence inconnue",IF(N(D91)&lt;=0,"Quantité invalide",IF(AND(A91&lt;&gt;"",COUNTIF(of_num,A91)&gt;1),"N° OF en double",IF(G91="Annulé","OK",IF(I91="","Poste manquant (gamme)",IF(ISNA(MATCH(I91,po_code,0)),"Poste inconnu",IF(K91="","Capacité du poste nulle",IF(AND(H91&lt;&gt;"",N(H91)=0),"Début imposé invalide",IF(AND(N(H91)&gt;0,WORKDAY.INTL(H91-1,1,p_weekend,p_holidays)&lt;&gt;H91),"Début un jour chômé",IF(AND(N(H91)&gt;0,H91&lt;=SUMPRODUCT(MAX(($I$6:$I90=$I91)*$M$6:$M90))),"Chevauche l'OF précédent",IF(N(F91)=0,"Date de besoin manquante","OK")))))))))))))</f>
        <v/>
      </c>
      <c r="T91" s="65" t="str">
        <f>IF(K91="","",J91/K91)</f>
        <v/>
      </c>
      <c r="U91" s="66" t="str">
        <f>IF(OR(O91="En retard",O91="Juste"),COUNTIF($O$6:O91,"En retard")+COUNTIF($O$6:O91,"Juste"),"")</f>
        <v/>
      </c>
    </row>
    <row r="92">
      <c r="A92" s="53" t="n"/>
      <c r="B92" s="53" t="n"/>
      <c r="C92" s="54" t="str">
        <f>IF(B92="","",IFERROR(INDEX(art_des,MATCH($B92,art_ref,0)),"Référence inconnue"))</f>
        <v/>
      </c>
      <c r="D92" s="55" t="n"/>
      <c r="E92" s="53" t="n"/>
      <c r="F92" s="56" t="n"/>
      <c r="G92" s="57" t="n"/>
      <c r="H92" s="56" t="n"/>
      <c r="I92" s="58" t="str">
        <f>IF(B92="","",IFERROR(INDEX(art_poste,MATCH($B92,art_ref,0))&amp;"",""))</f>
        <v/>
      </c>
      <c r="J92" s="59" t="str">
        <f>IF(OR(B92="",G92="Annulé",N(D92)&lt;=0),"",IFERROR(ROUND(INDEX(art_setup,MATCH($B92,art_ref,0))+D92*INDEX(art_cycle,MATCH($B92,art_ref,0))/60,2),""))</f>
        <v/>
      </c>
      <c r="K92" s="60" t="str">
        <f>IF(J92="","",IFERROR(MAX(1,ROUNDUP(J92/INDEX(po_cap,MATCH(I92,po_code,0)),0)),""))</f>
        <v/>
      </c>
      <c r="L92" s="61">
        <f>IF(K92="",0,IF(N(H92)&gt;0,H92,WORKDAY.INTL(MAX(p_start-1,SUMPRODUCT(MAX(($I$6:$I91=$I92)*$M$6:$M91))),1,p_weekend,p_holidays)))</f>
        <v>0.0</v>
      </c>
      <c r="M92" s="61">
        <f>IF(K92="",0,WORKDAY.INTL(L92,K92-1,p_weekend,p_holidays))</f>
        <v>0.0</v>
      </c>
      <c r="N92" s="62" t="str">
        <f>IF(OR(M92=0,N(F92)=0,G92="Terminé"),"",F92-M92)</f>
        <v/>
      </c>
      <c r="O92" s="58" t="str">
        <f>IF(B92="","",IF(G92="Annulé","Annulé",IF(G92="Terminé","Terminé",IF(M92=0,"À compléter",IF(N(F92)=0,"Sans échéance",IF(M92&gt;F92,"En retard",IF(F92-M92&lt;=p_margin,"Juste","À l'heure")))))))</f>
        <v/>
      </c>
      <c r="P92" s="55" t="n"/>
      <c r="Q92" s="63" t="str">
        <f>IF(OR(B92="",N(D92)&lt;=0),"",MIN(1,N(P92)/D92))</f>
        <v/>
      </c>
      <c r="R92" s="64" t="str">
        <f>IF(OR(J92="",ISNA(MATCH(I92,po_code,0))),"",ROUND(J92*N(INDEX(po_rate,MATCH(I92,po_code,0))),2))</f>
        <v/>
      </c>
      <c r="S92" s="58" t="str">
        <f>IF(AND(A92="",B92=""),"",IF(B92="","Référence manquante",IF(ISNA(MATCH($B92,art_ref,0)),"Référence inconnue",IF(N(D92)&lt;=0,"Quantité invalide",IF(AND(A92&lt;&gt;"",COUNTIF(of_num,A92)&gt;1),"N° OF en double",IF(G92="Annulé","OK",IF(I92="","Poste manquant (gamme)",IF(ISNA(MATCH(I92,po_code,0)),"Poste inconnu",IF(K92="","Capacité du poste nulle",IF(AND(H92&lt;&gt;"",N(H92)=0),"Début imposé invalide",IF(AND(N(H92)&gt;0,WORKDAY.INTL(H92-1,1,p_weekend,p_holidays)&lt;&gt;H92),"Début un jour chômé",IF(AND(N(H92)&gt;0,H92&lt;=SUMPRODUCT(MAX(($I$6:$I91=$I92)*$M$6:$M91))),"Chevauche l'OF précédent",IF(N(F92)=0,"Date de besoin manquante","OK")))))))))))))</f>
        <v/>
      </c>
      <c r="T92" s="65" t="str">
        <f>IF(K92="","",J92/K92)</f>
        <v/>
      </c>
      <c r="U92" s="66" t="str">
        <f>IF(OR(O92="En retard",O92="Juste"),COUNTIF($O$6:O92,"En retard")+COUNTIF($O$6:O92,"Juste"),"")</f>
        <v/>
      </c>
    </row>
    <row r="93">
      <c r="A93" s="53" t="n"/>
      <c r="B93" s="53" t="n"/>
      <c r="C93" s="54" t="str">
        <f>IF(B93="","",IFERROR(INDEX(art_des,MATCH($B93,art_ref,0)),"Référence inconnue"))</f>
        <v/>
      </c>
      <c r="D93" s="55" t="n"/>
      <c r="E93" s="53" t="n"/>
      <c r="F93" s="56" t="n"/>
      <c r="G93" s="57" t="n"/>
      <c r="H93" s="56" t="n"/>
      <c r="I93" s="58" t="str">
        <f>IF(B93="","",IFERROR(INDEX(art_poste,MATCH($B93,art_ref,0))&amp;"",""))</f>
        <v/>
      </c>
      <c r="J93" s="59" t="str">
        <f>IF(OR(B93="",G93="Annulé",N(D93)&lt;=0),"",IFERROR(ROUND(INDEX(art_setup,MATCH($B93,art_ref,0))+D93*INDEX(art_cycle,MATCH($B93,art_ref,0))/60,2),""))</f>
        <v/>
      </c>
      <c r="K93" s="60" t="str">
        <f>IF(J93="","",IFERROR(MAX(1,ROUNDUP(J93/INDEX(po_cap,MATCH(I93,po_code,0)),0)),""))</f>
        <v/>
      </c>
      <c r="L93" s="61">
        <f>IF(K93="",0,IF(N(H93)&gt;0,H93,WORKDAY.INTL(MAX(p_start-1,SUMPRODUCT(MAX(($I$6:$I92=$I93)*$M$6:$M92))),1,p_weekend,p_holidays)))</f>
        <v>0.0</v>
      </c>
      <c r="M93" s="61">
        <f>IF(K93="",0,WORKDAY.INTL(L93,K93-1,p_weekend,p_holidays))</f>
        <v>0.0</v>
      </c>
      <c r="N93" s="62" t="str">
        <f>IF(OR(M93=0,N(F93)=0,G93="Terminé"),"",F93-M93)</f>
        <v/>
      </c>
      <c r="O93" s="58" t="str">
        <f>IF(B93="","",IF(G93="Annulé","Annulé",IF(G93="Terminé","Terminé",IF(M93=0,"À compléter",IF(N(F93)=0,"Sans échéance",IF(M93&gt;F93,"En retard",IF(F93-M93&lt;=p_margin,"Juste","À l'heure")))))))</f>
        <v/>
      </c>
      <c r="P93" s="55" t="n"/>
      <c r="Q93" s="63" t="str">
        <f>IF(OR(B93="",N(D93)&lt;=0),"",MIN(1,N(P93)/D93))</f>
        <v/>
      </c>
      <c r="R93" s="64" t="str">
        <f>IF(OR(J93="",ISNA(MATCH(I93,po_code,0))),"",ROUND(J93*N(INDEX(po_rate,MATCH(I93,po_code,0))),2))</f>
        <v/>
      </c>
      <c r="S93" s="58" t="str">
        <f>IF(AND(A93="",B93=""),"",IF(B93="","Référence manquante",IF(ISNA(MATCH($B93,art_ref,0)),"Référence inconnue",IF(N(D93)&lt;=0,"Quantité invalide",IF(AND(A93&lt;&gt;"",COUNTIF(of_num,A93)&gt;1),"N° OF en double",IF(G93="Annulé","OK",IF(I93="","Poste manquant (gamme)",IF(ISNA(MATCH(I93,po_code,0)),"Poste inconnu",IF(K93="","Capacité du poste nulle",IF(AND(H93&lt;&gt;"",N(H93)=0),"Début imposé invalide",IF(AND(N(H93)&gt;0,WORKDAY.INTL(H93-1,1,p_weekend,p_holidays)&lt;&gt;H93),"Début un jour chômé",IF(AND(N(H93)&gt;0,H93&lt;=SUMPRODUCT(MAX(($I$6:$I92=$I93)*$M$6:$M92))),"Chevauche l'OF précédent",IF(N(F93)=0,"Date de besoin manquante","OK")))))))))))))</f>
        <v/>
      </c>
      <c r="T93" s="65" t="str">
        <f>IF(K93="","",J93/K93)</f>
        <v/>
      </c>
      <c r="U93" s="66" t="str">
        <f>IF(OR(O93="En retard",O93="Juste"),COUNTIF($O$6:O93,"En retard")+COUNTIF($O$6:O93,"Juste"),"")</f>
        <v/>
      </c>
    </row>
    <row r="94">
      <c r="A94" s="53" t="n"/>
      <c r="B94" s="53" t="n"/>
      <c r="C94" s="54" t="str">
        <f>IF(B94="","",IFERROR(INDEX(art_des,MATCH($B94,art_ref,0)),"Référence inconnue"))</f>
        <v/>
      </c>
      <c r="D94" s="55" t="n"/>
      <c r="E94" s="53" t="n"/>
      <c r="F94" s="56" t="n"/>
      <c r="G94" s="57" t="n"/>
      <c r="H94" s="56" t="n"/>
      <c r="I94" s="58" t="str">
        <f>IF(B94="","",IFERROR(INDEX(art_poste,MATCH($B94,art_ref,0))&amp;"",""))</f>
        <v/>
      </c>
      <c r="J94" s="59" t="str">
        <f>IF(OR(B94="",G94="Annulé",N(D94)&lt;=0),"",IFERROR(ROUND(INDEX(art_setup,MATCH($B94,art_ref,0))+D94*INDEX(art_cycle,MATCH($B94,art_ref,0))/60,2),""))</f>
        <v/>
      </c>
      <c r="K94" s="60" t="str">
        <f>IF(J94="","",IFERROR(MAX(1,ROUNDUP(J94/INDEX(po_cap,MATCH(I94,po_code,0)),0)),""))</f>
        <v/>
      </c>
      <c r="L94" s="61">
        <f>IF(K94="",0,IF(N(H94)&gt;0,H94,WORKDAY.INTL(MAX(p_start-1,SUMPRODUCT(MAX(($I$6:$I93=$I94)*$M$6:$M93))),1,p_weekend,p_holidays)))</f>
        <v>0.0</v>
      </c>
      <c r="M94" s="61">
        <f>IF(K94="",0,WORKDAY.INTL(L94,K94-1,p_weekend,p_holidays))</f>
        <v>0.0</v>
      </c>
      <c r="N94" s="62" t="str">
        <f>IF(OR(M94=0,N(F94)=0,G94="Terminé"),"",F94-M94)</f>
        <v/>
      </c>
      <c r="O94" s="58" t="str">
        <f>IF(B94="","",IF(G94="Annulé","Annulé",IF(G94="Terminé","Terminé",IF(M94=0,"À compléter",IF(N(F94)=0,"Sans échéance",IF(M94&gt;F94,"En retard",IF(F94-M94&lt;=p_margin,"Juste","À l'heure")))))))</f>
        <v/>
      </c>
      <c r="P94" s="55" t="n"/>
      <c r="Q94" s="63" t="str">
        <f>IF(OR(B94="",N(D94)&lt;=0),"",MIN(1,N(P94)/D94))</f>
        <v/>
      </c>
      <c r="R94" s="64" t="str">
        <f>IF(OR(J94="",ISNA(MATCH(I94,po_code,0))),"",ROUND(J94*N(INDEX(po_rate,MATCH(I94,po_code,0))),2))</f>
        <v/>
      </c>
      <c r="S94" s="58" t="str">
        <f>IF(AND(A94="",B94=""),"",IF(B94="","Référence manquante",IF(ISNA(MATCH($B94,art_ref,0)),"Référence inconnue",IF(N(D94)&lt;=0,"Quantité invalide",IF(AND(A94&lt;&gt;"",COUNTIF(of_num,A94)&gt;1),"N° OF en double",IF(G94="Annulé","OK",IF(I94="","Poste manquant (gamme)",IF(ISNA(MATCH(I94,po_code,0)),"Poste inconnu",IF(K94="","Capacité du poste nulle",IF(AND(H94&lt;&gt;"",N(H94)=0),"Début imposé invalide",IF(AND(N(H94)&gt;0,WORKDAY.INTL(H94-1,1,p_weekend,p_holidays)&lt;&gt;H94),"Début un jour chômé",IF(AND(N(H94)&gt;0,H94&lt;=SUMPRODUCT(MAX(($I$6:$I93=$I94)*$M$6:$M93))),"Chevauche l'OF précédent",IF(N(F94)=0,"Date de besoin manquante","OK")))))))))))))</f>
        <v/>
      </c>
      <c r="T94" s="65" t="str">
        <f>IF(K94="","",J94/K94)</f>
        <v/>
      </c>
      <c r="U94" s="66" t="str">
        <f>IF(OR(O94="En retard",O94="Juste"),COUNTIF($O$6:O94,"En retard")+COUNTIF($O$6:O94,"Juste"),"")</f>
        <v/>
      </c>
    </row>
    <row r="95">
      <c r="A95" s="53" t="n"/>
      <c r="B95" s="53" t="n"/>
      <c r="C95" s="54" t="str">
        <f>IF(B95="","",IFERROR(INDEX(art_des,MATCH($B95,art_ref,0)),"Référence inconnue"))</f>
        <v/>
      </c>
      <c r="D95" s="55" t="n"/>
      <c r="E95" s="53" t="n"/>
      <c r="F95" s="56" t="n"/>
      <c r="G95" s="57" t="n"/>
      <c r="H95" s="56" t="n"/>
      <c r="I95" s="58" t="str">
        <f>IF(B95="","",IFERROR(INDEX(art_poste,MATCH($B95,art_ref,0))&amp;"",""))</f>
        <v/>
      </c>
      <c r="J95" s="59" t="str">
        <f>IF(OR(B95="",G95="Annulé",N(D95)&lt;=0),"",IFERROR(ROUND(INDEX(art_setup,MATCH($B95,art_ref,0))+D95*INDEX(art_cycle,MATCH($B95,art_ref,0))/60,2),""))</f>
        <v/>
      </c>
      <c r="K95" s="60" t="str">
        <f>IF(J95="","",IFERROR(MAX(1,ROUNDUP(J95/INDEX(po_cap,MATCH(I95,po_code,0)),0)),""))</f>
        <v/>
      </c>
      <c r="L95" s="61">
        <f>IF(K95="",0,IF(N(H95)&gt;0,H95,WORKDAY.INTL(MAX(p_start-1,SUMPRODUCT(MAX(($I$6:$I94=$I95)*$M$6:$M94))),1,p_weekend,p_holidays)))</f>
        <v>0.0</v>
      </c>
      <c r="M95" s="61">
        <f>IF(K95="",0,WORKDAY.INTL(L95,K95-1,p_weekend,p_holidays))</f>
        <v>0.0</v>
      </c>
      <c r="N95" s="62" t="str">
        <f>IF(OR(M95=0,N(F95)=0,G95="Terminé"),"",F95-M95)</f>
        <v/>
      </c>
      <c r="O95" s="58" t="str">
        <f>IF(B95="","",IF(G95="Annulé","Annulé",IF(G95="Terminé","Terminé",IF(M95=0,"À compléter",IF(N(F95)=0,"Sans échéance",IF(M95&gt;F95,"En retard",IF(F95-M95&lt;=p_margin,"Juste","À l'heure")))))))</f>
        <v/>
      </c>
      <c r="P95" s="55" t="n"/>
      <c r="Q95" s="63" t="str">
        <f>IF(OR(B95="",N(D95)&lt;=0),"",MIN(1,N(P95)/D95))</f>
        <v/>
      </c>
      <c r="R95" s="64" t="str">
        <f>IF(OR(J95="",ISNA(MATCH(I95,po_code,0))),"",ROUND(J95*N(INDEX(po_rate,MATCH(I95,po_code,0))),2))</f>
        <v/>
      </c>
      <c r="S95" s="58" t="str">
        <f>IF(AND(A95="",B95=""),"",IF(B95="","Référence manquante",IF(ISNA(MATCH($B95,art_ref,0)),"Référence inconnue",IF(N(D95)&lt;=0,"Quantité invalide",IF(AND(A95&lt;&gt;"",COUNTIF(of_num,A95)&gt;1),"N° OF en double",IF(G95="Annulé","OK",IF(I95="","Poste manquant (gamme)",IF(ISNA(MATCH(I95,po_code,0)),"Poste inconnu",IF(K95="","Capacité du poste nulle",IF(AND(H95&lt;&gt;"",N(H95)=0),"Début imposé invalide",IF(AND(N(H95)&gt;0,WORKDAY.INTL(H95-1,1,p_weekend,p_holidays)&lt;&gt;H95),"Début un jour chômé",IF(AND(N(H95)&gt;0,H95&lt;=SUMPRODUCT(MAX(($I$6:$I94=$I95)*$M$6:$M94))),"Chevauche l'OF précédent",IF(N(F95)=0,"Date de besoin manquante","OK")))))))))))))</f>
        <v/>
      </c>
      <c r="T95" s="65" t="str">
        <f>IF(K95="","",J95/K95)</f>
        <v/>
      </c>
      <c r="U95" s="66" t="str">
        <f>IF(OR(O95="En retard",O95="Juste"),COUNTIF($O$6:O95,"En retard")+COUNTIF($O$6:O95,"Juste"),"")</f>
        <v/>
      </c>
    </row>
    <row r="96">
      <c r="A96" s="53" t="n"/>
      <c r="B96" s="53" t="n"/>
      <c r="C96" s="54" t="str">
        <f>IF(B96="","",IFERROR(INDEX(art_des,MATCH($B96,art_ref,0)),"Référence inconnue"))</f>
        <v/>
      </c>
      <c r="D96" s="55" t="n"/>
      <c r="E96" s="53" t="n"/>
      <c r="F96" s="56" t="n"/>
      <c r="G96" s="57" t="n"/>
      <c r="H96" s="56" t="n"/>
      <c r="I96" s="58" t="str">
        <f>IF(B96="","",IFERROR(INDEX(art_poste,MATCH($B96,art_ref,0))&amp;"",""))</f>
        <v/>
      </c>
      <c r="J96" s="59" t="str">
        <f>IF(OR(B96="",G96="Annulé",N(D96)&lt;=0),"",IFERROR(ROUND(INDEX(art_setup,MATCH($B96,art_ref,0))+D96*INDEX(art_cycle,MATCH($B96,art_ref,0))/60,2),""))</f>
        <v/>
      </c>
      <c r="K96" s="60" t="str">
        <f>IF(J96="","",IFERROR(MAX(1,ROUNDUP(J96/INDEX(po_cap,MATCH(I96,po_code,0)),0)),""))</f>
        <v/>
      </c>
      <c r="L96" s="61">
        <f>IF(K96="",0,IF(N(H96)&gt;0,H96,WORKDAY.INTL(MAX(p_start-1,SUMPRODUCT(MAX(($I$6:$I95=$I96)*$M$6:$M95))),1,p_weekend,p_holidays)))</f>
        <v>0.0</v>
      </c>
      <c r="M96" s="61">
        <f>IF(K96="",0,WORKDAY.INTL(L96,K96-1,p_weekend,p_holidays))</f>
        <v>0.0</v>
      </c>
      <c r="N96" s="62" t="str">
        <f>IF(OR(M96=0,N(F96)=0,G96="Terminé"),"",F96-M96)</f>
        <v/>
      </c>
      <c r="O96" s="58" t="str">
        <f>IF(B96="","",IF(G96="Annulé","Annulé",IF(G96="Terminé","Terminé",IF(M96=0,"À compléter",IF(N(F96)=0,"Sans échéance",IF(M96&gt;F96,"En retard",IF(F96-M96&lt;=p_margin,"Juste","À l'heure")))))))</f>
        <v/>
      </c>
      <c r="P96" s="55" t="n"/>
      <c r="Q96" s="63" t="str">
        <f>IF(OR(B96="",N(D96)&lt;=0),"",MIN(1,N(P96)/D96))</f>
        <v/>
      </c>
      <c r="R96" s="64" t="str">
        <f>IF(OR(J96="",ISNA(MATCH(I96,po_code,0))),"",ROUND(J96*N(INDEX(po_rate,MATCH(I96,po_code,0))),2))</f>
        <v/>
      </c>
      <c r="S96" s="58" t="str">
        <f>IF(AND(A96="",B96=""),"",IF(B96="","Référence manquante",IF(ISNA(MATCH($B96,art_ref,0)),"Référence inconnue",IF(N(D96)&lt;=0,"Quantité invalide",IF(AND(A96&lt;&gt;"",COUNTIF(of_num,A96)&gt;1),"N° OF en double",IF(G96="Annulé","OK",IF(I96="","Poste manquant (gamme)",IF(ISNA(MATCH(I96,po_code,0)),"Poste inconnu",IF(K96="","Capacité du poste nulle",IF(AND(H96&lt;&gt;"",N(H96)=0),"Début imposé invalide",IF(AND(N(H96)&gt;0,WORKDAY.INTL(H96-1,1,p_weekend,p_holidays)&lt;&gt;H96),"Début un jour chômé",IF(AND(N(H96)&gt;0,H96&lt;=SUMPRODUCT(MAX(($I$6:$I95=$I96)*$M$6:$M95))),"Chevauche l'OF précédent",IF(N(F96)=0,"Date de besoin manquante","OK")))))))))))))</f>
        <v/>
      </c>
      <c r="T96" s="65" t="str">
        <f>IF(K96="","",J96/K96)</f>
        <v/>
      </c>
      <c r="U96" s="66" t="str">
        <f>IF(OR(O96="En retard",O96="Juste"),COUNTIF($O$6:O96,"En retard")+COUNTIF($O$6:O96,"Juste"),"")</f>
        <v/>
      </c>
    </row>
    <row r="97">
      <c r="A97" s="53" t="n"/>
      <c r="B97" s="53" t="n"/>
      <c r="C97" s="54" t="str">
        <f>IF(B97="","",IFERROR(INDEX(art_des,MATCH($B97,art_ref,0)),"Référence inconnue"))</f>
        <v/>
      </c>
      <c r="D97" s="55" t="n"/>
      <c r="E97" s="53" t="n"/>
      <c r="F97" s="56" t="n"/>
      <c r="G97" s="57" t="n"/>
      <c r="H97" s="56" t="n"/>
      <c r="I97" s="58" t="str">
        <f>IF(B97="","",IFERROR(INDEX(art_poste,MATCH($B97,art_ref,0))&amp;"",""))</f>
        <v/>
      </c>
      <c r="J97" s="59" t="str">
        <f>IF(OR(B97="",G97="Annulé",N(D97)&lt;=0),"",IFERROR(ROUND(INDEX(art_setup,MATCH($B97,art_ref,0))+D97*INDEX(art_cycle,MATCH($B97,art_ref,0))/60,2),""))</f>
        <v/>
      </c>
      <c r="K97" s="60" t="str">
        <f>IF(J97="","",IFERROR(MAX(1,ROUNDUP(J97/INDEX(po_cap,MATCH(I97,po_code,0)),0)),""))</f>
        <v/>
      </c>
      <c r="L97" s="61">
        <f>IF(K97="",0,IF(N(H97)&gt;0,H97,WORKDAY.INTL(MAX(p_start-1,SUMPRODUCT(MAX(($I$6:$I96=$I97)*$M$6:$M96))),1,p_weekend,p_holidays)))</f>
        <v>0.0</v>
      </c>
      <c r="M97" s="61">
        <f>IF(K97="",0,WORKDAY.INTL(L97,K97-1,p_weekend,p_holidays))</f>
        <v>0.0</v>
      </c>
      <c r="N97" s="62" t="str">
        <f>IF(OR(M97=0,N(F97)=0,G97="Terminé"),"",F97-M97)</f>
        <v/>
      </c>
      <c r="O97" s="58" t="str">
        <f>IF(B97="","",IF(G97="Annulé","Annulé",IF(G97="Terminé","Terminé",IF(M97=0,"À compléter",IF(N(F97)=0,"Sans échéance",IF(M97&gt;F97,"En retard",IF(F97-M97&lt;=p_margin,"Juste","À l'heure")))))))</f>
        <v/>
      </c>
      <c r="P97" s="55" t="n"/>
      <c r="Q97" s="63" t="str">
        <f>IF(OR(B97="",N(D97)&lt;=0),"",MIN(1,N(P97)/D97))</f>
        <v/>
      </c>
      <c r="R97" s="64" t="str">
        <f>IF(OR(J97="",ISNA(MATCH(I97,po_code,0))),"",ROUND(J97*N(INDEX(po_rate,MATCH(I97,po_code,0))),2))</f>
        <v/>
      </c>
      <c r="S97" s="58" t="str">
        <f>IF(AND(A97="",B97=""),"",IF(B97="","Référence manquante",IF(ISNA(MATCH($B97,art_ref,0)),"Référence inconnue",IF(N(D97)&lt;=0,"Quantité invalide",IF(AND(A97&lt;&gt;"",COUNTIF(of_num,A97)&gt;1),"N° OF en double",IF(G97="Annulé","OK",IF(I97="","Poste manquant (gamme)",IF(ISNA(MATCH(I97,po_code,0)),"Poste inconnu",IF(K97="","Capacité du poste nulle",IF(AND(H97&lt;&gt;"",N(H97)=0),"Début imposé invalide",IF(AND(N(H97)&gt;0,WORKDAY.INTL(H97-1,1,p_weekend,p_holidays)&lt;&gt;H97),"Début un jour chômé",IF(AND(N(H97)&gt;0,H97&lt;=SUMPRODUCT(MAX(($I$6:$I96=$I97)*$M$6:$M96))),"Chevauche l'OF précédent",IF(N(F97)=0,"Date de besoin manquante","OK")))))))))))))</f>
        <v/>
      </c>
      <c r="T97" s="65" t="str">
        <f>IF(K97="","",J97/K97)</f>
        <v/>
      </c>
      <c r="U97" s="66" t="str">
        <f>IF(OR(O97="En retard",O97="Juste"),COUNTIF($O$6:O97,"En retard")+COUNTIF($O$6:O97,"Juste"),"")</f>
        <v/>
      </c>
    </row>
    <row r="98">
      <c r="A98" s="53" t="n"/>
      <c r="B98" s="53" t="n"/>
      <c r="C98" s="54" t="str">
        <f>IF(B98="","",IFERROR(INDEX(art_des,MATCH($B98,art_ref,0)),"Référence inconnue"))</f>
        <v/>
      </c>
      <c r="D98" s="55" t="n"/>
      <c r="E98" s="53" t="n"/>
      <c r="F98" s="56" t="n"/>
      <c r="G98" s="57" t="n"/>
      <c r="H98" s="56" t="n"/>
      <c r="I98" s="58" t="str">
        <f>IF(B98="","",IFERROR(INDEX(art_poste,MATCH($B98,art_ref,0))&amp;"",""))</f>
        <v/>
      </c>
      <c r="J98" s="59" t="str">
        <f>IF(OR(B98="",G98="Annulé",N(D98)&lt;=0),"",IFERROR(ROUND(INDEX(art_setup,MATCH($B98,art_ref,0))+D98*INDEX(art_cycle,MATCH($B98,art_ref,0))/60,2),""))</f>
        <v/>
      </c>
      <c r="K98" s="60" t="str">
        <f>IF(J98="","",IFERROR(MAX(1,ROUNDUP(J98/INDEX(po_cap,MATCH(I98,po_code,0)),0)),""))</f>
        <v/>
      </c>
      <c r="L98" s="61">
        <f>IF(K98="",0,IF(N(H98)&gt;0,H98,WORKDAY.INTL(MAX(p_start-1,SUMPRODUCT(MAX(($I$6:$I97=$I98)*$M$6:$M97))),1,p_weekend,p_holidays)))</f>
        <v>0.0</v>
      </c>
      <c r="M98" s="61">
        <f>IF(K98="",0,WORKDAY.INTL(L98,K98-1,p_weekend,p_holidays))</f>
        <v>0.0</v>
      </c>
      <c r="N98" s="62" t="str">
        <f>IF(OR(M98=0,N(F98)=0,G98="Terminé"),"",F98-M98)</f>
        <v/>
      </c>
      <c r="O98" s="58" t="str">
        <f>IF(B98="","",IF(G98="Annulé","Annulé",IF(G98="Terminé","Terminé",IF(M98=0,"À compléter",IF(N(F98)=0,"Sans échéance",IF(M98&gt;F98,"En retard",IF(F98-M98&lt;=p_margin,"Juste","À l'heure")))))))</f>
        <v/>
      </c>
      <c r="P98" s="55" t="n"/>
      <c r="Q98" s="63" t="str">
        <f>IF(OR(B98="",N(D98)&lt;=0),"",MIN(1,N(P98)/D98))</f>
        <v/>
      </c>
      <c r="R98" s="64" t="str">
        <f>IF(OR(J98="",ISNA(MATCH(I98,po_code,0))),"",ROUND(J98*N(INDEX(po_rate,MATCH(I98,po_code,0))),2))</f>
        <v/>
      </c>
      <c r="S98" s="58" t="str">
        <f>IF(AND(A98="",B98=""),"",IF(B98="","Référence manquante",IF(ISNA(MATCH($B98,art_ref,0)),"Référence inconnue",IF(N(D98)&lt;=0,"Quantité invalide",IF(AND(A98&lt;&gt;"",COUNTIF(of_num,A98)&gt;1),"N° OF en double",IF(G98="Annulé","OK",IF(I98="","Poste manquant (gamme)",IF(ISNA(MATCH(I98,po_code,0)),"Poste inconnu",IF(K98="","Capacité du poste nulle",IF(AND(H98&lt;&gt;"",N(H98)=0),"Début imposé invalide",IF(AND(N(H98)&gt;0,WORKDAY.INTL(H98-1,1,p_weekend,p_holidays)&lt;&gt;H98),"Début un jour chômé",IF(AND(N(H98)&gt;0,H98&lt;=SUMPRODUCT(MAX(($I$6:$I97=$I98)*$M$6:$M97))),"Chevauche l'OF précédent",IF(N(F98)=0,"Date de besoin manquante","OK")))))))))))))</f>
        <v/>
      </c>
      <c r="T98" s="65" t="str">
        <f>IF(K98="","",J98/K98)</f>
        <v/>
      </c>
      <c r="U98" s="66" t="str">
        <f>IF(OR(O98="En retard",O98="Juste"),COUNTIF($O$6:O98,"En retard")+COUNTIF($O$6:O98,"Juste"),"")</f>
        <v/>
      </c>
    </row>
    <row r="99">
      <c r="A99" s="53" t="n"/>
      <c r="B99" s="53" t="n"/>
      <c r="C99" s="54" t="str">
        <f>IF(B99="","",IFERROR(INDEX(art_des,MATCH($B99,art_ref,0)),"Référence inconnue"))</f>
        <v/>
      </c>
      <c r="D99" s="55" t="n"/>
      <c r="E99" s="53" t="n"/>
      <c r="F99" s="56" t="n"/>
      <c r="G99" s="57" t="n"/>
      <c r="H99" s="56" t="n"/>
      <c r="I99" s="58" t="str">
        <f>IF(B99="","",IFERROR(INDEX(art_poste,MATCH($B99,art_ref,0))&amp;"",""))</f>
        <v/>
      </c>
      <c r="J99" s="59" t="str">
        <f>IF(OR(B99="",G99="Annulé",N(D99)&lt;=0),"",IFERROR(ROUND(INDEX(art_setup,MATCH($B99,art_ref,0))+D99*INDEX(art_cycle,MATCH($B99,art_ref,0))/60,2),""))</f>
        <v/>
      </c>
      <c r="K99" s="60" t="str">
        <f>IF(J99="","",IFERROR(MAX(1,ROUNDUP(J99/INDEX(po_cap,MATCH(I99,po_code,0)),0)),""))</f>
        <v/>
      </c>
      <c r="L99" s="61">
        <f>IF(K99="",0,IF(N(H99)&gt;0,H99,WORKDAY.INTL(MAX(p_start-1,SUMPRODUCT(MAX(($I$6:$I98=$I99)*$M$6:$M98))),1,p_weekend,p_holidays)))</f>
        <v>0.0</v>
      </c>
      <c r="M99" s="61">
        <f>IF(K99="",0,WORKDAY.INTL(L99,K99-1,p_weekend,p_holidays))</f>
        <v>0.0</v>
      </c>
      <c r="N99" s="62" t="str">
        <f>IF(OR(M99=0,N(F99)=0,G99="Terminé"),"",F99-M99)</f>
        <v/>
      </c>
      <c r="O99" s="58" t="str">
        <f>IF(B99="","",IF(G99="Annulé","Annulé",IF(G99="Terminé","Terminé",IF(M99=0,"À compléter",IF(N(F99)=0,"Sans échéance",IF(M99&gt;F99,"En retard",IF(F99-M99&lt;=p_margin,"Juste","À l'heure")))))))</f>
        <v/>
      </c>
      <c r="P99" s="55" t="n"/>
      <c r="Q99" s="63" t="str">
        <f>IF(OR(B99="",N(D99)&lt;=0),"",MIN(1,N(P99)/D99))</f>
        <v/>
      </c>
      <c r="R99" s="64" t="str">
        <f>IF(OR(J99="",ISNA(MATCH(I99,po_code,0))),"",ROUND(J99*N(INDEX(po_rate,MATCH(I99,po_code,0))),2))</f>
        <v/>
      </c>
      <c r="S99" s="58" t="str">
        <f>IF(AND(A99="",B99=""),"",IF(B99="","Référence manquante",IF(ISNA(MATCH($B99,art_ref,0)),"Référence inconnue",IF(N(D99)&lt;=0,"Quantité invalide",IF(AND(A99&lt;&gt;"",COUNTIF(of_num,A99)&gt;1),"N° OF en double",IF(G99="Annulé","OK",IF(I99="","Poste manquant (gamme)",IF(ISNA(MATCH(I99,po_code,0)),"Poste inconnu",IF(K99="","Capacité du poste nulle",IF(AND(H99&lt;&gt;"",N(H99)=0),"Début imposé invalide",IF(AND(N(H99)&gt;0,WORKDAY.INTL(H99-1,1,p_weekend,p_holidays)&lt;&gt;H99),"Début un jour chômé",IF(AND(N(H99)&gt;0,H99&lt;=SUMPRODUCT(MAX(($I$6:$I98=$I99)*$M$6:$M98))),"Chevauche l'OF précédent",IF(N(F99)=0,"Date de besoin manquante","OK")))))))))))))</f>
        <v/>
      </c>
      <c r="T99" s="65" t="str">
        <f>IF(K99="","",J99/K99)</f>
        <v/>
      </c>
      <c r="U99" s="66" t="str">
        <f>IF(OR(O99="En retard",O99="Juste"),COUNTIF($O$6:O99,"En retard")+COUNTIF($O$6:O99,"Juste"),"")</f>
        <v/>
      </c>
    </row>
    <row r="100">
      <c r="A100" s="53" t="n"/>
      <c r="B100" s="53" t="n"/>
      <c r="C100" s="54" t="str">
        <f>IF(B100="","",IFERROR(INDEX(art_des,MATCH($B100,art_ref,0)),"Référence inconnue"))</f>
        <v/>
      </c>
      <c r="D100" s="55" t="n"/>
      <c r="E100" s="53" t="n"/>
      <c r="F100" s="56" t="n"/>
      <c r="G100" s="57" t="n"/>
      <c r="H100" s="56" t="n"/>
      <c r="I100" s="58" t="str">
        <f>IF(B100="","",IFERROR(INDEX(art_poste,MATCH($B100,art_ref,0))&amp;"",""))</f>
        <v/>
      </c>
      <c r="J100" s="59" t="str">
        <f>IF(OR(B100="",G100="Annulé",N(D100)&lt;=0),"",IFERROR(ROUND(INDEX(art_setup,MATCH($B100,art_ref,0))+D100*INDEX(art_cycle,MATCH($B100,art_ref,0))/60,2),""))</f>
        <v/>
      </c>
      <c r="K100" s="60" t="str">
        <f>IF(J100="","",IFERROR(MAX(1,ROUNDUP(J100/INDEX(po_cap,MATCH(I100,po_code,0)),0)),""))</f>
        <v/>
      </c>
      <c r="L100" s="61">
        <f>IF(K100="",0,IF(N(H100)&gt;0,H100,WORKDAY.INTL(MAX(p_start-1,SUMPRODUCT(MAX(($I$6:$I99=$I100)*$M$6:$M99))),1,p_weekend,p_holidays)))</f>
        <v>0.0</v>
      </c>
      <c r="M100" s="61">
        <f>IF(K100="",0,WORKDAY.INTL(L100,K100-1,p_weekend,p_holidays))</f>
        <v>0.0</v>
      </c>
      <c r="N100" s="62" t="str">
        <f>IF(OR(M100=0,N(F100)=0,G100="Terminé"),"",F100-M100)</f>
        <v/>
      </c>
      <c r="O100" s="58" t="str">
        <f>IF(B100="","",IF(G100="Annulé","Annulé",IF(G100="Terminé","Terminé",IF(M100=0,"À compléter",IF(N(F100)=0,"Sans échéance",IF(M100&gt;F100,"En retard",IF(F100-M100&lt;=p_margin,"Juste","À l'heure")))))))</f>
        <v/>
      </c>
      <c r="P100" s="55" t="n"/>
      <c r="Q100" s="63" t="str">
        <f>IF(OR(B100="",N(D100)&lt;=0),"",MIN(1,N(P100)/D100))</f>
        <v/>
      </c>
      <c r="R100" s="64" t="str">
        <f>IF(OR(J100="",ISNA(MATCH(I100,po_code,0))),"",ROUND(J100*N(INDEX(po_rate,MATCH(I100,po_code,0))),2))</f>
        <v/>
      </c>
      <c r="S100" s="58" t="str">
        <f>IF(AND(A100="",B100=""),"",IF(B100="","Référence manquante",IF(ISNA(MATCH($B100,art_ref,0)),"Référence inconnue",IF(N(D100)&lt;=0,"Quantité invalide",IF(AND(A100&lt;&gt;"",COUNTIF(of_num,A100)&gt;1),"N° OF en double",IF(G100="Annulé","OK",IF(I100="","Poste manquant (gamme)",IF(ISNA(MATCH(I100,po_code,0)),"Poste inconnu",IF(K100="","Capacité du poste nulle",IF(AND(H100&lt;&gt;"",N(H100)=0),"Début imposé invalide",IF(AND(N(H100)&gt;0,WORKDAY.INTL(H100-1,1,p_weekend,p_holidays)&lt;&gt;H100),"Début un jour chômé",IF(AND(N(H100)&gt;0,H100&lt;=SUMPRODUCT(MAX(($I$6:$I99=$I100)*$M$6:$M99))),"Chevauche l'OF précédent",IF(N(F100)=0,"Date de besoin manquante","OK")))))))))))))</f>
        <v/>
      </c>
      <c r="T100" s="65" t="str">
        <f>IF(K100="","",J100/K100)</f>
        <v/>
      </c>
      <c r="U100" s="66" t="str">
        <f>IF(OR(O100="En retard",O100="Juste"),COUNTIF($O$6:O100,"En retard")+COUNTIF($O$6:O100,"Juste"),"")</f>
        <v/>
      </c>
    </row>
    <row r="101">
      <c r="A101" s="53" t="n"/>
      <c r="B101" s="53" t="n"/>
      <c r="C101" s="54" t="str">
        <f>IF(B101="","",IFERROR(INDEX(art_des,MATCH($B101,art_ref,0)),"Référence inconnue"))</f>
        <v/>
      </c>
      <c r="D101" s="55" t="n"/>
      <c r="E101" s="53" t="n"/>
      <c r="F101" s="56" t="n"/>
      <c r="G101" s="57" t="n"/>
      <c r="H101" s="56" t="n"/>
      <c r="I101" s="58" t="str">
        <f>IF(B101="","",IFERROR(INDEX(art_poste,MATCH($B101,art_ref,0))&amp;"",""))</f>
        <v/>
      </c>
      <c r="J101" s="59" t="str">
        <f>IF(OR(B101="",G101="Annulé",N(D101)&lt;=0),"",IFERROR(ROUND(INDEX(art_setup,MATCH($B101,art_ref,0))+D101*INDEX(art_cycle,MATCH($B101,art_ref,0))/60,2),""))</f>
        <v/>
      </c>
      <c r="K101" s="60" t="str">
        <f>IF(J101="","",IFERROR(MAX(1,ROUNDUP(J101/INDEX(po_cap,MATCH(I101,po_code,0)),0)),""))</f>
        <v/>
      </c>
      <c r="L101" s="61">
        <f>IF(K101="",0,IF(N(H101)&gt;0,H101,WORKDAY.INTL(MAX(p_start-1,SUMPRODUCT(MAX(($I$6:$I100=$I101)*$M$6:$M100))),1,p_weekend,p_holidays)))</f>
        <v>0.0</v>
      </c>
      <c r="M101" s="61">
        <f>IF(K101="",0,WORKDAY.INTL(L101,K101-1,p_weekend,p_holidays))</f>
        <v>0.0</v>
      </c>
      <c r="N101" s="62" t="str">
        <f>IF(OR(M101=0,N(F101)=0,G101="Terminé"),"",F101-M101)</f>
        <v/>
      </c>
      <c r="O101" s="58" t="str">
        <f>IF(B101="","",IF(G101="Annulé","Annulé",IF(G101="Terminé","Terminé",IF(M101=0,"À compléter",IF(N(F101)=0,"Sans échéance",IF(M101&gt;F101,"En retard",IF(F101-M101&lt;=p_margin,"Juste","À l'heure")))))))</f>
        <v/>
      </c>
      <c r="P101" s="55" t="n"/>
      <c r="Q101" s="63" t="str">
        <f>IF(OR(B101="",N(D101)&lt;=0),"",MIN(1,N(P101)/D101))</f>
        <v/>
      </c>
      <c r="R101" s="64" t="str">
        <f>IF(OR(J101="",ISNA(MATCH(I101,po_code,0))),"",ROUND(J101*N(INDEX(po_rate,MATCH(I101,po_code,0))),2))</f>
        <v/>
      </c>
      <c r="S101" s="58" t="str">
        <f>IF(AND(A101="",B101=""),"",IF(B101="","Référence manquante",IF(ISNA(MATCH($B101,art_ref,0)),"Référence inconnue",IF(N(D101)&lt;=0,"Quantité invalide",IF(AND(A101&lt;&gt;"",COUNTIF(of_num,A101)&gt;1),"N° OF en double",IF(G101="Annulé","OK",IF(I101="","Poste manquant (gamme)",IF(ISNA(MATCH(I101,po_code,0)),"Poste inconnu",IF(K101="","Capacité du poste nulle",IF(AND(H101&lt;&gt;"",N(H101)=0),"Début imposé invalide",IF(AND(N(H101)&gt;0,WORKDAY.INTL(H101-1,1,p_weekend,p_holidays)&lt;&gt;H101),"Début un jour chômé",IF(AND(N(H101)&gt;0,H101&lt;=SUMPRODUCT(MAX(($I$6:$I100=$I101)*$M$6:$M100))),"Chevauche l'OF précédent",IF(N(F101)=0,"Date de besoin manquante","OK")))))))))))))</f>
        <v/>
      </c>
      <c r="T101" s="65" t="str">
        <f>IF(K101="","",J101/K101)</f>
        <v/>
      </c>
      <c r="U101" s="66" t="str">
        <f>IF(OR(O101="En retard",O101="Juste"),COUNTIF($O$6:O101,"En retard")+COUNTIF($O$6:O101,"Juste"),"")</f>
        <v/>
      </c>
    </row>
    <row r="102">
      <c r="A102" s="53" t="n"/>
      <c r="B102" s="53" t="n"/>
      <c r="C102" s="54" t="str">
        <f>IF(B102="","",IFERROR(INDEX(art_des,MATCH($B102,art_ref,0)),"Référence inconnue"))</f>
        <v/>
      </c>
      <c r="D102" s="55" t="n"/>
      <c r="E102" s="53" t="n"/>
      <c r="F102" s="56" t="n"/>
      <c r="G102" s="57" t="n"/>
      <c r="H102" s="56" t="n"/>
      <c r="I102" s="58" t="str">
        <f>IF(B102="","",IFERROR(INDEX(art_poste,MATCH($B102,art_ref,0))&amp;"",""))</f>
        <v/>
      </c>
      <c r="J102" s="59" t="str">
        <f>IF(OR(B102="",G102="Annulé",N(D102)&lt;=0),"",IFERROR(ROUND(INDEX(art_setup,MATCH($B102,art_ref,0))+D102*INDEX(art_cycle,MATCH($B102,art_ref,0))/60,2),""))</f>
        <v/>
      </c>
      <c r="K102" s="60" t="str">
        <f>IF(J102="","",IFERROR(MAX(1,ROUNDUP(J102/INDEX(po_cap,MATCH(I102,po_code,0)),0)),""))</f>
        <v/>
      </c>
      <c r="L102" s="61">
        <f>IF(K102="",0,IF(N(H102)&gt;0,H102,WORKDAY.INTL(MAX(p_start-1,SUMPRODUCT(MAX(($I$6:$I101=$I102)*$M$6:$M101))),1,p_weekend,p_holidays)))</f>
        <v>0.0</v>
      </c>
      <c r="M102" s="61">
        <f>IF(K102="",0,WORKDAY.INTL(L102,K102-1,p_weekend,p_holidays))</f>
        <v>0.0</v>
      </c>
      <c r="N102" s="62" t="str">
        <f>IF(OR(M102=0,N(F102)=0,G102="Terminé"),"",F102-M102)</f>
        <v/>
      </c>
      <c r="O102" s="58" t="str">
        <f>IF(B102="","",IF(G102="Annulé","Annulé",IF(G102="Terminé","Terminé",IF(M102=0,"À compléter",IF(N(F102)=0,"Sans échéance",IF(M102&gt;F102,"En retard",IF(F102-M102&lt;=p_margin,"Juste","À l'heure")))))))</f>
        <v/>
      </c>
      <c r="P102" s="55" t="n"/>
      <c r="Q102" s="63" t="str">
        <f>IF(OR(B102="",N(D102)&lt;=0),"",MIN(1,N(P102)/D102))</f>
        <v/>
      </c>
      <c r="R102" s="64" t="str">
        <f>IF(OR(J102="",ISNA(MATCH(I102,po_code,0))),"",ROUND(J102*N(INDEX(po_rate,MATCH(I102,po_code,0))),2))</f>
        <v/>
      </c>
      <c r="S102" s="58" t="str">
        <f>IF(AND(A102="",B102=""),"",IF(B102="","Référence manquante",IF(ISNA(MATCH($B102,art_ref,0)),"Référence inconnue",IF(N(D102)&lt;=0,"Quantité invalide",IF(AND(A102&lt;&gt;"",COUNTIF(of_num,A102)&gt;1),"N° OF en double",IF(G102="Annulé","OK",IF(I102="","Poste manquant (gamme)",IF(ISNA(MATCH(I102,po_code,0)),"Poste inconnu",IF(K102="","Capacité du poste nulle",IF(AND(H102&lt;&gt;"",N(H102)=0),"Début imposé invalide",IF(AND(N(H102)&gt;0,WORKDAY.INTL(H102-1,1,p_weekend,p_holidays)&lt;&gt;H102),"Début un jour chômé",IF(AND(N(H102)&gt;0,H102&lt;=SUMPRODUCT(MAX(($I$6:$I101=$I102)*$M$6:$M101))),"Chevauche l'OF précédent",IF(N(F102)=0,"Date de besoin manquante","OK")))))))))))))</f>
        <v/>
      </c>
      <c r="T102" s="65" t="str">
        <f>IF(K102="","",J102/K102)</f>
        <v/>
      </c>
      <c r="U102" s="66" t="str">
        <f>IF(OR(O102="En retard",O102="Juste"),COUNTIF($O$6:O102,"En retard")+COUNTIF($O$6:O102,"Juste"),"")</f>
        <v/>
      </c>
    </row>
    <row r="103">
      <c r="A103" s="53" t="n"/>
      <c r="B103" s="53" t="n"/>
      <c r="C103" s="54" t="str">
        <f>IF(B103="","",IFERROR(INDEX(art_des,MATCH($B103,art_ref,0)),"Référence inconnue"))</f>
        <v/>
      </c>
      <c r="D103" s="55" t="n"/>
      <c r="E103" s="53" t="n"/>
      <c r="F103" s="56" t="n"/>
      <c r="G103" s="57" t="n"/>
      <c r="H103" s="56" t="n"/>
      <c r="I103" s="58" t="str">
        <f>IF(B103="","",IFERROR(INDEX(art_poste,MATCH($B103,art_ref,0))&amp;"",""))</f>
        <v/>
      </c>
      <c r="J103" s="59" t="str">
        <f>IF(OR(B103="",G103="Annulé",N(D103)&lt;=0),"",IFERROR(ROUND(INDEX(art_setup,MATCH($B103,art_ref,0))+D103*INDEX(art_cycle,MATCH($B103,art_ref,0))/60,2),""))</f>
        <v/>
      </c>
      <c r="K103" s="60" t="str">
        <f>IF(J103="","",IFERROR(MAX(1,ROUNDUP(J103/INDEX(po_cap,MATCH(I103,po_code,0)),0)),""))</f>
        <v/>
      </c>
      <c r="L103" s="61">
        <f>IF(K103="",0,IF(N(H103)&gt;0,H103,WORKDAY.INTL(MAX(p_start-1,SUMPRODUCT(MAX(($I$6:$I102=$I103)*$M$6:$M102))),1,p_weekend,p_holidays)))</f>
        <v>0.0</v>
      </c>
      <c r="M103" s="61">
        <f>IF(K103="",0,WORKDAY.INTL(L103,K103-1,p_weekend,p_holidays))</f>
        <v>0.0</v>
      </c>
      <c r="N103" s="62" t="str">
        <f>IF(OR(M103=0,N(F103)=0,G103="Terminé"),"",F103-M103)</f>
        <v/>
      </c>
      <c r="O103" s="58" t="str">
        <f>IF(B103="","",IF(G103="Annulé","Annulé",IF(G103="Terminé","Terminé",IF(M103=0,"À compléter",IF(N(F103)=0,"Sans échéance",IF(M103&gt;F103,"En retard",IF(F103-M103&lt;=p_margin,"Juste","À l'heure")))))))</f>
        <v/>
      </c>
      <c r="P103" s="55" t="n"/>
      <c r="Q103" s="63" t="str">
        <f>IF(OR(B103="",N(D103)&lt;=0),"",MIN(1,N(P103)/D103))</f>
        <v/>
      </c>
      <c r="R103" s="64" t="str">
        <f>IF(OR(J103="",ISNA(MATCH(I103,po_code,0))),"",ROUND(J103*N(INDEX(po_rate,MATCH(I103,po_code,0))),2))</f>
        <v/>
      </c>
      <c r="S103" s="58" t="str">
        <f>IF(AND(A103="",B103=""),"",IF(B103="","Référence manquante",IF(ISNA(MATCH($B103,art_ref,0)),"Référence inconnue",IF(N(D103)&lt;=0,"Quantité invalide",IF(AND(A103&lt;&gt;"",COUNTIF(of_num,A103)&gt;1),"N° OF en double",IF(G103="Annulé","OK",IF(I103="","Poste manquant (gamme)",IF(ISNA(MATCH(I103,po_code,0)),"Poste inconnu",IF(K103="","Capacité du poste nulle",IF(AND(H103&lt;&gt;"",N(H103)=0),"Début imposé invalide",IF(AND(N(H103)&gt;0,WORKDAY.INTL(H103-1,1,p_weekend,p_holidays)&lt;&gt;H103),"Début un jour chômé",IF(AND(N(H103)&gt;0,H103&lt;=SUMPRODUCT(MAX(($I$6:$I102=$I103)*$M$6:$M102))),"Chevauche l'OF précédent",IF(N(F103)=0,"Date de besoin manquante","OK")))))))))))))</f>
        <v/>
      </c>
      <c r="T103" s="65" t="str">
        <f>IF(K103="","",J103/K103)</f>
        <v/>
      </c>
      <c r="U103" s="66" t="str">
        <f>IF(OR(O103="En retard",O103="Juste"),COUNTIF($O$6:O103,"En retard")+COUNTIF($O$6:O103,"Juste"),"")</f>
        <v/>
      </c>
    </row>
    <row r="104">
      <c r="A104" s="53" t="n"/>
      <c r="B104" s="53" t="n"/>
      <c r="C104" s="54" t="str">
        <f>IF(B104="","",IFERROR(INDEX(art_des,MATCH($B104,art_ref,0)),"Référence inconnue"))</f>
        <v/>
      </c>
      <c r="D104" s="55" t="n"/>
      <c r="E104" s="53" t="n"/>
      <c r="F104" s="56" t="n"/>
      <c r="G104" s="57" t="n"/>
      <c r="H104" s="56" t="n"/>
      <c r="I104" s="58" t="str">
        <f>IF(B104="","",IFERROR(INDEX(art_poste,MATCH($B104,art_ref,0))&amp;"",""))</f>
        <v/>
      </c>
      <c r="J104" s="59" t="str">
        <f>IF(OR(B104="",G104="Annulé",N(D104)&lt;=0),"",IFERROR(ROUND(INDEX(art_setup,MATCH($B104,art_ref,0))+D104*INDEX(art_cycle,MATCH($B104,art_ref,0))/60,2),""))</f>
        <v/>
      </c>
      <c r="K104" s="60" t="str">
        <f>IF(J104="","",IFERROR(MAX(1,ROUNDUP(J104/INDEX(po_cap,MATCH(I104,po_code,0)),0)),""))</f>
        <v/>
      </c>
      <c r="L104" s="61">
        <f>IF(K104="",0,IF(N(H104)&gt;0,H104,WORKDAY.INTL(MAX(p_start-1,SUMPRODUCT(MAX(($I$6:$I103=$I104)*$M$6:$M103))),1,p_weekend,p_holidays)))</f>
        <v>0.0</v>
      </c>
      <c r="M104" s="61">
        <f>IF(K104="",0,WORKDAY.INTL(L104,K104-1,p_weekend,p_holidays))</f>
        <v>0.0</v>
      </c>
      <c r="N104" s="62" t="str">
        <f>IF(OR(M104=0,N(F104)=0,G104="Terminé"),"",F104-M104)</f>
        <v/>
      </c>
      <c r="O104" s="58" t="str">
        <f>IF(B104="","",IF(G104="Annulé","Annulé",IF(G104="Terminé","Terminé",IF(M104=0,"À compléter",IF(N(F104)=0,"Sans échéance",IF(M104&gt;F104,"En retard",IF(F104-M104&lt;=p_margin,"Juste","À l'heure")))))))</f>
        <v/>
      </c>
      <c r="P104" s="55" t="n"/>
      <c r="Q104" s="63" t="str">
        <f>IF(OR(B104="",N(D104)&lt;=0),"",MIN(1,N(P104)/D104))</f>
        <v/>
      </c>
      <c r="R104" s="64" t="str">
        <f>IF(OR(J104="",ISNA(MATCH(I104,po_code,0))),"",ROUND(J104*N(INDEX(po_rate,MATCH(I104,po_code,0))),2))</f>
        <v/>
      </c>
      <c r="S104" s="58" t="str">
        <f>IF(AND(A104="",B104=""),"",IF(B104="","Référence manquante",IF(ISNA(MATCH($B104,art_ref,0)),"Référence inconnue",IF(N(D104)&lt;=0,"Quantité invalide",IF(AND(A104&lt;&gt;"",COUNTIF(of_num,A104)&gt;1),"N° OF en double",IF(G104="Annulé","OK",IF(I104="","Poste manquant (gamme)",IF(ISNA(MATCH(I104,po_code,0)),"Poste inconnu",IF(K104="","Capacité du poste nulle",IF(AND(H104&lt;&gt;"",N(H104)=0),"Début imposé invalide",IF(AND(N(H104)&gt;0,WORKDAY.INTL(H104-1,1,p_weekend,p_holidays)&lt;&gt;H104),"Début un jour chômé",IF(AND(N(H104)&gt;0,H104&lt;=SUMPRODUCT(MAX(($I$6:$I103=$I104)*$M$6:$M103))),"Chevauche l'OF précédent",IF(N(F104)=0,"Date de besoin manquante","OK")))))))))))))</f>
        <v/>
      </c>
      <c r="T104" s="65" t="str">
        <f>IF(K104="","",J104/K104)</f>
        <v/>
      </c>
      <c r="U104" s="66" t="str">
        <f>IF(OR(O104="En retard",O104="Juste"),COUNTIF($O$6:O104,"En retard")+COUNTIF($O$6:O104,"Juste"),"")</f>
        <v/>
      </c>
    </row>
    <row r="105">
      <c r="A105" s="53" t="n"/>
      <c r="B105" s="53" t="n"/>
      <c r="C105" s="54" t="str">
        <f>IF(B105="","",IFERROR(INDEX(art_des,MATCH($B105,art_ref,0)),"Référence inconnue"))</f>
        <v/>
      </c>
      <c r="D105" s="55" t="n"/>
      <c r="E105" s="53" t="n"/>
      <c r="F105" s="56" t="n"/>
      <c r="G105" s="57" t="n"/>
      <c r="H105" s="56" t="n"/>
      <c r="I105" s="58" t="str">
        <f>IF(B105="","",IFERROR(INDEX(art_poste,MATCH($B105,art_ref,0))&amp;"",""))</f>
        <v/>
      </c>
      <c r="J105" s="59" t="str">
        <f>IF(OR(B105="",G105="Annulé",N(D105)&lt;=0),"",IFERROR(ROUND(INDEX(art_setup,MATCH($B105,art_ref,0))+D105*INDEX(art_cycle,MATCH($B105,art_ref,0))/60,2),""))</f>
        <v/>
      </c>
      <c r="K105" s="60" t="str">
        <f>IF(J105="","",IFERROR(MAX(1,ROUNDUP(J105/INDEX(po_cap,MATCH(I105,po_code,0)),0)),""))</f>
        <v/>
      </c>
      <c r="L105" s="61">
        <f>IF(K105="",0,IF(N(H105)&gt;0,H105,WORKDAY.INTL(MAX(p_start-1,SUMPRODUCT(MAX(($I$6:$I104=$I105)*$M$6:$M104))),1,p_weekend,p_holidays)))</f>
        <v>0.0</v>
      </c>
      <c r="M105" s="61">
        <f>IF(K105="",0,WORKDAY.INTL(L105,K105-1,p_weekend,p_holidays))</f>
        <v>0.0</v>
      </c>
      <c r="N105" s="62" t="str">
        <f>IF(OR(M105=0,N(F105)=0,G105="Terminé"),"",F105-M105)</f>
        <v/>
      </c>
      <c r="O105" s="58" t="str">
        <f>IF(B105="","",IF(G105="Annulé","Annulé",IF(G105="Terminé","Terminé",IF(M105=0,"À compléter",IF(N(F105)=0,"Sans échéance",IF(M105&gt;F105,"En retard",IF(F105-M105&lt;=p_margin,"Juste","À l'heure")))))))</f>
        <v/>
      </c>
      <c r="P105" s="55" t="n"/>
      <c r="Q105" s="63" t="str">
        <f>IF(OR(B105="",N(D105)&lt;=0),"",MIN(1,N(P105)/D105))</f>
        <v/>
      </c>
      <c r="R105" s="64" t="str">
        <f>IF(OR(J105="",ISNA(MATCH(I105,po_code,0))),"",ROUND(J105*N(INDEX(po_rate,MATCH(I105,po_code,0))),2))</f>
        <v/>
      </c>
      <c r="S105" s="58" t="str">
        <f>IF(AND(A105="",B105=""),"",IF(B105="","Référence manquante",IF(ISNA(MATCH($B105,art_ref,0)),"Référence inconnue",IF(N(D105)&lt;=0,"Quantité invalide",IF(AND(A105&lt;&gt;"",COUNTIF(of_num,A105)&gt;1),"N° OF en double",IF(G105="Annulé","OK",IF(I105="","Poste manquant (gamme)",IF(ISNA(MATCH(I105,po_code,0)),"Poste inconnu",IF(K105="","Capacité du poste nulle",IF(AND(H105&lt;&gt;"",N(H105)=0),"Début imposé invalide",IF(AND(N(H105)&gt;0,WORKDAY.INTL(H105-1,1,p_weekend,p_holidays)&lt;&gt;H105),"Début un jour chômé",IF(AND(N(H105)&gt;0,H105&lt;=SUMPRODUCT(MAX(($I$6:$I104=$I105)*$M$6:$M104))),"Chevauche l'OF précédent",IF(N(F105)=0,"Date de besoin manquante","OK")))))))))))))</f>
        <v/>
      </c>
      <c r="T105" s="65" t="str">
        <f>IF(K105="","",J105/K105)</f>
        <v/>
      </c>
      <c r="U105" s="66" t="str">
        <f>IF(OR(O105="En retard",O105="Juste"),COUNTIF($O$6:O105,"En retard")+COUNTIF($O$6:O105,"Juste"),"")</f>
        <v/>
      </c>
    </row>
    <row r="106">
      <c r="A106" s="53" t="n"/>
      <c r="B106" s="53" t="n"/>
      <c r="C106" s="54" t="str">
        <f>IF(B106="","",IFERROR(INDEX(art_des,MATCH($B106,art_ref,0)),"Référence inconnue"))</f>
        <v/>
      </c>
      <c r="D106" s="55" t="n"/>
      <c r="E106" s="53" t="n"/>
      <c r="F106" s="56" t="n"/>
      <c r="G106" s="57" t="n"/>
      <c r="H106" s="56" t="n"/>
      <c r="I106" s="58" t="str">
        <f>IF(B106="","",IFERROR(INDEX(art_poste,MATCH($B106,art_ref,0))&amp;"",""))</f>
        <v/>
      </c>
      <c r="J106" s="59" t="str">
        <f>IF(OR(B106="",G106="Annulé",N(D106)&lt;=0),"",IFERROR(ROUND(INDEX(art_setup,MATCH($B106,art_ref,0))+D106*INDEX(art_cycle,MATCH($B106,art_ref,0))/60,2),""))</f>
        <v/>
      </c>
      <c r="K106" s="60" t="str">
        <f>IF(J106="","",IFERROR(MAX(1,ROUNDUP(J106/INDEX(po_cap,MATCH(I106,po_code,0)),0)),""))</f>
        <v/>
      </c>
      <c r="L106" s="61">
        <f>IF(K106="",0,IF(N(H106)&gt;0,H106,WORKDAY.INTL(MAX(p_start-1,SUMPRODUCT(MAX(($I$6:$I105=$I106)*$M$6:$M105))),1,p_weekend,p_holidays)))</f>
        <v>0.0</v>
      </c>
      <c r="M106" s="61">
        <f>IF(K106="",0,WORKDAY.INTL(L106,K106-1,p_weekend,p_holidays))</f>
        <v>0.0</v>
      </c>
      <c r="N106" s="62" t="str">
        <f>IF(OR(M106=0,N(F106)=0,G106="Terminé"),"",F106-M106)</f>
        <v/>
      </c>
      <c r="O106" s="58" t="str">
        <f>IF(B106="","",IF(G106="Annulé","Annulé",IF(G106="Terminé","Terminé",IF(M106=0,"À compléter",IF(N(F106)=0,"Sans échéance",IF(M106&gt;F106,"En retard",IF(F106-M106&lt;=p_margin,"Juste","À l'heure")))))))</f>
        <v/>
      </c>
      <c r="P106" s="55" t="n"/>
      <c r="Q106" s="63" t="str">
        <f>IF(OR(B106="",N(D106)&lt;=0),"",MIN(1,N(P106)/D106))</f>
        <v/>
      </c>
      <c r="R106" s="64" t="str">
        <f>IF(OR(J106="",ISNA(MATCH(I106,po_code,0))),"",ROUND(J106*N(INDEX(po_rate,MATCH(I106,po_code,0))),2))</f>
        <v/>
      </c>
      <c r="S106" s="58" t="str">
        <f>IF(AND(A106="",B106=""),"",IF(B106="","Référence manquante",IF(ISNA(MATCH($B106,art_ref,0)),"Référence inconnue",IF(N(D106)&lt;=0,"Quantité invalide",IF(AND(A106&lt;&gt;"",COUNTIF(of_num,A106)&gt;1),"N° OF en double",IF(G106="Annulé","OK",IF(I106="","Poste manquant (gamme)",IF(ISNA(MATCH(I106,po_code,0)),"Poste inconnu",IF(K106="","Capacité du poste nulle",IF(AND(H106&lt;&gt;"",N(H106)=0),"Début imposé invalide",IF(AND(N(H106)&gt;0,WORKDAY.INTL(H106-1,1,p_weekend,p_holidays)&lt;&gt;H106),"Début un jour chômé",IF(AND(N(H106)&gt;0,H106&lt;=SUMPRODUCT(MAX(($I$6:$I105=$I106)*$M$6:$M105))),"Chevauche l'OF précédent",IF(N(F106)=0,"Date de besoin manquante","OK")))))))))))))</f>
        <v/>
      </c>
      <c r="T106" s="65" t="str">
        <f>IF(K106="","",J106/K106)</f>
        <v/>
      </c>
      <c r="U106" s="66" t="str">
        <f>IF(OR(O106="En retard",O106="Juste"),COUNTIF($O$6:O106,"En retard")+COUNTIF($O$6:O106,"Juste"),"")</f>
        <v/>
      </c>
    </row>
    <row r="107">
      <c r="A107" s="53" t="n"/>
      <c r="B107" s="53" t="n"/>
      <c r="C107" s="54" t="str">
        <f>IF(B107="","",IFERROR(INDEX(art_des,MATCH($B107,art_ref,0)),"Référence inconnue"))</f>
        <v/>
      </c>
      <c r="D107" s="55" t="n"/>
      <c r="E107" s="53" t="n"/>
      <c r="F107" s="56" t="n"/>
      <c r="G107" s="57" t="n"/>
      <c r="H107" s="56" t="n"/>
      <c r="I107" s="58" t="str">
        <f>IF(B107="","",IFERROR(INDEX(art_poste,MATCH($B107,art_ref,0))&amp;"",""))</f>
        <v/>
      </c>
      <c r="J107" s="59" t="str">
        <f>IF(OR(B107="",G107="Annulé",N(D107)&lt;=0),"",IFERROR(ROUND(INDEX(art_setup,MATCH($B107,art_ref,0))+D107*INDEX(art_cycle,MATCH($B107,art_ref,0))/60,2),""))</f>
        <v/>
      </c>
      <c r="K107" s="60" t="str">
        <f>IF(J107="","",IFERROR(MAX(1,ROUNDUP(J107/INDEX(po_cap,MATCH(I107,po_code,0)),0)),""))</f>
        <v/>
      </c>
      <c r="L107" s="61">
        <f>IF(K107="",0,IF(N(H107)&gt;0,H107,WORKDAY.INTL(MAX(p_start-1,SUMPRODUCT(MAX(($I$6:$I106=$I107)*$M$6:$M106))),1,p_weekend,p_holidays)))</f>
        <v>0.0</v>
      </c>
      <c r="M107" s="61">
        <f>IF(K107="",0,WORKDAY.INTL(L107,K107-1,p_weekend,p_holidays))</f>
        <v>0.0</v>
      </c>
      <c r="N107" s="62" t="str">
        <f>IF(OR(M107=0,N(F107)=0,G107="Terminé"),"",F107-M107)</f>
        <v/>
      </c>
      <c r="O107" s="58" t="str">
        <f>IF(B107="","",IF(G107="Annulé","Annulé",IF(G107="Terminé","Terminé",IF(M107=0,"À compléter",IF(N(F107)=0,"Sans échéance",IF(M107&gt;F107,"En retard",IF(F107-M107&lt;=p_margin,"Juste","À l'heure")))))))</f>
        <v/>
      </c>
      <c r="P107" s="55" t="n"/>
      <c r="Q107" s="63" t="str">
        <f>IF(OR(B107="",N(D107)&lt;=0),"",MIN(1,N(P107)/D107))</f>
        <v/>
      </c>
      <c r="R107" s="64" t="str">
        <f>IF(OR(J107="",ISNA(MATCH(I107,po_code,0))),"",ROUND(J107*N(INDEX(po_rate,MATCH(I107,po_code,0))),2))</f>
        <v/>
      </c>
      <c r="S107" s="58" t="str">
        <f>IF(AND(A107="",B107=""),"",IF(B107="","Référence manquante",IF(ISNA(MATCH($B107,art_ref,0)),"Référence inconnue",IF(N(D107)&lt;=0,"Quantité invalide",IF(AND(A107&lt;&gt;"",COUNTIF(of_num,A107)&gt;1),"N° OF en double",IF(G107="Annulé","OK",IF(I107="","Poste manquant (gamme)",IF(ISNA(MATCH(I107,po_code,0)),"Poste inconnu",IF(K107="","Capacité du poste nulle",IF(AND(H107&lt;&gt;"",N(H107)=0),"Début imposé invalide",IF(AND(N(H107)&gt;0,WORKDAY.INTL(H107-1,1,p_weekend,p_holidays)&lt;&gt;H107),"Début un jour chômé",IF(AND(N(H107)&gt;0,H107&lt;=SUMPRODUCT(MAX(($I$6:$I106=$I107)*$M$6:$M106))),"Chevauche l'OF précédent",IF(N(F107)=0,"Date de besoin manquante","OK")))))))))))))</f>
        <v/>
      </c>
      <c r="T107" s="65" t="str">
        <f>IF(K107="","",J107/K107)</f>
        <v/>
      </c>
      <c r="U107" s="66" t="str">
        <f>IF(OR(O107="En retard",O107="Juste"),COUNTIF($O$6:O107,"En retard")+COUNTIF($O$6:O107,"Juste"),"")</f>
        <v/>
      </c>
    </row>
    <row r="108">
      <c r="A108" s="53" t="n"/>
      <c r="B108" s="53" t="n"/>
      <c r="C108" s="54" t="str">
        <f>IF(B108="","",IFERROR(INDEX(art_des,MATCH($B108,art_ref,0)),"Référence inconnue"))</f>
        <v/>
      </c>
      <c r="D108" s="55" t="n"/>
      <c r="E108" s="53" t="n"/>
      <c r="F108" s="56" t="n"/>
      <c r="G108" s="57" t="n"/>
      <c r="H108" s="56" t="n"/>
      <c r="I108" s="58" t="str">
        <f>IF(B108="","",IFERROR(INDEX(art_poste,MATCH($B108,art_ref,0))&amp;"",""))</f>
        <v/>
      </c>
      <c r="J108" s="59" t="str">
        <f>IF(OR(B108="",G108="Annulé",N(D108)&lt;=0),"",IFERROR(ROUND(INDEX(art_setup,MATCH($B108,art_ref,0))+D108*INDEX(art_cycle,MATCH($B108,art_ref,0))/60,2),""))</f>
        <v/>
      </c>
      <c r="K108" s="60" t="str">
        <f>IF(J108="","",IFERROR(MAX(1,ROUNDUP(J108/INDEX(po_cap,MATCH(I108,po_code,0)),0)),""))</f>
        <v/>
      </c>
      <c r="L108" s="61">
        <f>IF(K108="",0,IF(N(H108)&gt;0,H108,WORKDAY.INTL(MAX(p_start-1,SUMPRODUCT(MAX(($I$6:$I107=$I108)*$M$6:$M107))),1,p_weekend,p_holidays)))</f>
        <v>0.0</v>
      </c>
      <c r="M108" s="61">
        <f>IF(K108="",0,WORKDAY.INTL(L108,K108-1,p_weekend,p_holidays))</f>
        <v>0.0</v>
      </c>
      <c r="N108" s="62" t="str">
        <f>IF(OR(M108=0,N(F108)=0,G108="Terminé"),"",F108-M108)</f>
        <v/>
      </c>
      <c r="O108" s="58" t="str">
        <f>IF(B108="","",IF(G108="Annulé","Annulé",IF(G108="Terminé","Terminé",IF(M108=0,"À compléter",IF(N(F108)=0,"Sans échéance",IF(M108&gt;F108,"En retard",IF(F108-M108&lt;=p_margin,"Juste","À l'heure")))))))</f>
        <v/>
      </c>
      <c r="P108" s="55" t="n"/>
      <c r="Q108" s="63" t="str">
        <f>IF(OR(B108="",N(D108)&lt;=0),"",MIN(1,N(P108)/D108))</f>
        <v/>
      </c>
      <c r="R108" s="64" t="str">
        <f>IF(OR(J108="",ISNA(MATCH(I108,po_code,0))),"",ROUND(J108*N(INDEX(po_rate,MATCH(I108,po_code,0))),2))</f>
        <v/>
      </c>
      <c r="S108" s="58" t="str">
        <f>IF(AND(A108="",B108=""),"",IF(B108="","Référence manquante",IF(ISNA(MATCH($B108,art_ref,0)),"Référence inconnue",IF(N(D108)&lt;=0,"Quantité invalide",IF(AND(A108&lt;&gt;"",COUNTIF(of_num,A108)&gt;1),"N° OF en double",IF(G108="Annulé","OK",IF(I108="","Poste manquant (gamme)",IF(ISNA(MATCH(I108,po_code,0)),"Poste inconnu",IF(K108="","Capacité du poste nulle",IF(AND(H108&lt;&gt;"",N(H108)=0),"Début imposé invalide",IF(AND(N(H108)&gt;0,WORKDAY.INTL(H108-1,1,p_weekend,p_holidays)&lt;&gt;H108),"Début un jour chômé",IF(AND(N(H108)&gt;0,H108&lt;=SUMPRODUCT(MAX(($I$6:$I107=$I108)*$M$6:$M107))),"Chevauche l'OF précédent",IF(N(F108)=0,"Date de besoin manquante","OK")))))))))))))</f>
        <v/>
      </c>
      <c r="T108" s="65" t="str">
        <f>IF(K108="","",J108/K108)</f>
        <v/>
      </c>
      <c r="U108" s="66" t="str">
        <f>IF(OR(O108="En retard",O108="Juste"),COUNTIF($O$6:O108,"En retard")+COUNTIF($O$6:O108,"Juste"),"")</f>
        <v/>
      </c>
    </row>
    <row r="109">
      <c r="A109" s="53" t="n"/>
      <c r="B109" s="53" t="n"/>
      <c r="C109" s="54" t="str">
        <f>IF(B109="","",IFERROR(INDEX(art_des,MATCH($B109,art_ref,0)),"Référence inconnue"))</f>
        <v/>
      </c>
      <c r="D109" s="55" t="n"/>
      <c r="E109" s="53" t="n"/>
      <c r="F109" s="56" t="n"/>
      <c r="G109" s="57" t="n"/>
      <c r="H109" s="56" t="n"/>
      <c r="I109" s="58" t="str">
        <f>IF(B109="","",IFERROR(INDEX(art_poste,MATCH($B109,art_ref,0))&amp;"",""))</f>
        <v/>
      </c>
      <c r="J109" s="59" t="str">
        <f>IF(OR(B109="",G109="Annulé",N(D109)&lt;=0),"",IFERROR(ROUND(INDEX(art_setup,MATCH($B109,art_ref,0))+D109*INDEX(art_cycle,MATCH($B109,art_ref,0))/60,2),""))</f>
        <v/>
      </c>
      <c r="K109" s="60" t="str">
        <f>IF(J109="","",IFERROR(MAX(1,ROUNDUP(J109/INDEX(po_cap,MATCH(I109,po_code,0)),0)),""))</f>
        <v/>
      </c>
      <c r="L109" s="61">
        <f>IF(K109="",0,IF(N(H109)&gt;0,H109,WORKDAY.INTL(MAX(p_start-1,SUMPRODUCT(MAX(($I$6:$I108=$I109)*$M$6:$M108))),1,p_weekend,p_holidays)))</f>
        <v>0.0</v>
      </c>
      <c r="M109" s="61">
        <f>IF(K109="",0,WORKDAY.INTL(L109,K109-1,p_weekend,p_holidays))</f>
        <v>0.0</v>
      </c>
      <c r="N109" s="62" t="str">
        <f>IF(OR(M109=0,N(F109)=0,G109="Terminé"),"",F109-M109)</f>
        <v/>
      </c>
      <c r="O109" s="58" t="str">
        <f>IF(B109="","",IF(G109="Annulé","Annulé",IF(G109="Terminé","Terminé",IF(M109=0,"À compléter",IF(N(F109)=0,"Sans échéance",IF(M109&gt;F109,"En retard",IF(F109-M109&lt;=p_margin,"Juste","À l'heure")))))))</f>
        <v/>
      </c>
      <c r="P109" s="55" t="n"/>
      <c r="Q109" s="63" t="str">
        <f>IF(OR(B109="",N(D109)&lt;=0),"",MIN(1,N(P109)/D109))</f>
        <v/>
      </c>
      <c r="R109" s="64" t="str">
        <f>IF(OR(J109="",ISNA(MATCH(I109,po_code,0))),"",ROUND(J109*N(INDEX(po_rate,MATCH(I109,po_code,0))),2))</f>
        <v/>
      </c>
      <c r="S109" s="58" t="str">
        <f>IF(AND(A109="",B109=""),"",IF(B109="","Référence manquante",IF(ISNA(MATCH($B109,art_ref,0)),"Référence inconnue",IF(N(D109)&lt;=0,"Quantité invalide",IF(AND(A109&lt;&gt;"",COUNTIF(of_num,A109)&gt;1),"N° OF en double",IF(G109="Annulé","OK",IF(I109="","Poste manquant (gamme)",IF(ISNA(MATCH(I109,po_code,0)),"Poste inconnu",IF(K109="","Capacité du poste nulle",IF(AND(H109&lt;&gt;"",N(H109)=0),"Début imposé invalide",IF(AND(N(H109)&gt;0,WORKDAY.INTL(H109-1,1,p_weekend,p_holidays)&lt;&gt;H109),"Début un jour chômé",IF(AND(N(H109)&gt;0,H109&lt;=SUMPRODUCT(MAX(($I$6:$I108=$I109)*$M$6:$M108))),"Chevauche l'OF précédent",IF(N(F109)=0,"Date de besoin manquante","OK")))))))))))))</f>
        <v/>
      </c>
      <c r="T109" s="65" t="str">
        <f>IF(K109="","",J109/K109)</f>
        <v/>
      </c>
      <c r="U109" s="66" t="str">
        <f>IF(OR(O109="En retard",O109="Juste"),COUNTIF($O$6:O109,"En retard")+COUNTIF($O$6:O109,"Juste"),"")</f>
        <v/>
      </c>
    </row>
    <row r="110">
      <c r="A110" s="53" t="n"/>
      <c r="B110" s="53" t="n"/>
      <c r="C110" s="54" t="str">
        <f>IF(B110="","",IFERROR(INDEX(art_des,MATCH($B110,art_ref,0)),"Référence inconnue"))</f>
        <v/>
      </c>
      <c r="D110" s="55" t="n"/>
      <c r="E110" s="53" t="n"/>
      <c r="F110" s="56" t="n"/>
      <c r="G110" s="57" t="n"/>
      <c r="H110" s="56" t="n"/>
      <c r="I110" s="58" t="str">
        <f>IF(B110="","",IFERROR(INDEX(art_poste,MATCH($B110,art_ref,0))&amp;"",""))</f>
        <v/>
      </c>
      <c r="J110" s="59" t="str">
        <f>IF(OR(B110="",G110="Annulé",N(D110)&lt;=0),"",IFERROR(ROUND(INDEX(art_setup,MATCH($B110,art_ref,0))+D110*INDEX(art_cycle,MATCH($B110,art_ref,0))/60,2),""))</f>
        <v/>
      </c>
      <c r="K110" s="60" t="str">
        <f>IF(J110="","",IFERROR(MAX(1,ROUNDUP(J110/INDEX(po_cap,MATCH(I110,po_code,0)),0)),""))</f>
        <v/>
      </c>
      <c r="L110" s="61">
        <f>IF(K110="",0,IF(N(H110)&gt;0,H110,WORKDAY.INTL(MAX(p_start-1,SUMPRODUCT(MAX(($I$6:$I109=$I110)*$M$6:$M109))),1,p_weekend,p_holidays)))</f>
        <v>0.0</v>
      </c>
      <c r="M110" s="61">
        <f>IF(K110="",0,WORKDAY.INTL(L110,K110-1,p_weekend,p_holidays))</f>
        <v>0.0</v>
      </c>
      <c r="N110" s="62" t="str">
        <f>IF(OR(M110=0,N(F110)=0,G110="Terminé"),"",F110-M110)</f>
        <v/>
      </c>
      <c r="O110" s="58" t="str">
        <f>IF(B110="","",IF(G110="Annulé","Annulé",IF(G110="Terminé","Terminé",IF(M110=0,"À compléter",IF(N(F110)=0,"Sans échéance",IF(M110&gt;F110,"En retard",IF(F110-M110&lt;=p_margin,"Juste","À l'heure")))))))</f>
        <v/>
      </c>
      <c r="P110" s="55" t="n"/>
      <c r="Q110" s="63" t="str">
        <f>IF(OR(B110="",N(D110)&lt;=0),"",MIN(1,N(P110)/D110))</f>
        <v/>
      </c>
      <c r="R110" s="64" t="str">
        <f>IF(OR(J110="",ISNA(MATCH(I110,po_code,0))),"",ROUND(J110*N(INDEX(po_rate,MATCH(I110,po_code,0))),2))</f>
        <v/>
      </c>
      <c r="S110" s="58" t="str">
        <f>IF(AND(A110="",B110=""),"",IF(B110="","Référence manquante",IF(ISNA(MATCH($B110,art_ref,0)),"Référence inconnue",IF(N(D110)&lt;=0,"Quantité invalide",IF(AND(A110&lt;&gt;"",COUNTIF(of_num,A110)&gt;1),"N° OF en double",IF(G110="Annulé","OK",IF(I110="","Poste manquant (gamme)",IF(ISNA(MATCH(I110,po_code,0)),"Poste inconnu",IF(K110="","Capacité du poste nulle",IF(AND(H110&lt;&gt;"",N(H110)=0),"Début imposé invalide",IF(AND(N(H110)&gt;0,WORKDAY.INTL(H110-1,1,p_weekend,p_holidays)&lt;&gt;H110),"Début un jour chômé",IF(AND(N(H110)&gt;0,H110&lt;=SUMPRODUCT(MAX(($I$6:$I109=$I110)*$M$6:$M109))),"Chevauche l'OF précédent",IF(N(F110)=0,"Date de besoin manquante","OK")))))))))))))</f>
        <v/>
      </c>
      <c r="T110" s="65" t="str">
        <f>IF(K110="","",J110/K110)</f>
        <v/>
      </c>
      <c r="U110" s="66" t="str">
        <f>IF(OR(O110="En retard",O110="Juste"),COUNTIF($O$6:O110,"En retard")+COUNTIF($O$6:O110,"Juste"),"")</f>
        <v/>
      </c>
    </row>
    <row r="111">
      <c r="A111" s="53" t="n"/>
      <c r="B111" s="53" t="n"/>
      <c r="C111" s="54" t="str">
        <f>IF(B111="","",IFERROR(INDEX(art_des,MATCH($B111,art_ref,0)),"Référence inconnue"))</f>
        <v/>
      </c>
      <c r="D111" s="55" t="n"/>
      <c r="E111" s="53" t="n"/>
      <c r="F111" s="56" t="n"/>
      <c r="G111" s="57" t="n"/>
      <c r="H111" s="56" t="n"/>
      <c r="I111" s="58" t="str">
        <f>IF(B111="","",IFERROR(INDEX(art_poste,MATCH($B111,art_ref,0))&amp;"",""))</f>
        <v/>
      </c>
      <c r="J111" s="59" t="str">
        <f>IF(OR(B111="",G111="Annulé",N(D111)&lt;=0),"",IFERROR(ROUND(INDEX(art_setup,MATCH($B111,art_ref,0))+D111*INDEX(art_cycle,MATCH($B111,art_ref,0))/60,2),""))</f>
        <v/>
      </c>
      <c r="K111" s="60" t="str">
        <f>IF(J111="","",IFERROR(MAX(1,ROUNDUP(J111/INDEX(po_cap,MATCH(I111,po_code,0)),0)),""))</f>
        <v/>
      </c>
      <c r="L111" s="61">
        <f>IF(K111="",0,IF(N(H111)&gt;0,H111,WORKDAY.INTL(MAX(p_start-1,SUMPRODUCT(MAX(($I$6:$I110=$I111)*$M$6:$M110))),1,p_weekend,p_holidays)))</f>
        <v>0.0</v>
      </c>
      <c r="M111" s="61">
        <f>IF(K111="",0,WORKDAY.INTL(L111,K111-1,p_weekend,p_holidays))</f>
        <v>0.0</v>
      </c>
      <c r="N111" s="62" t="str">
        <f>IF(OR(M111=0,N(F111)=0,G111="Terminé"),"",F111-M111)</f>
        <v/>
      </c>
      <c r="O111" s="58" t="str">
        <f>IF(B111="","",IF(G111="Annulé","Annulé",IF(G111="Terminé","Terminé",IF(M111=0,"À compléter",IF(N(F111)=0,"Sans échéance",IF(M111&gt;F111,"En retard",IF(F111-M111&lt;=p_margin,"Juste","À l'heure")))))))</f>
        <v/>
      </c>
      <c r="P111" s="55" t="n"/>
      <c r="Q111" s="63" t="str">
        <f>IF(OR(B111="",N(D111)&lt;=0),"",MIN(1,N(P111)/D111))</f>
        <v/>
      </c>
      <c r="R111" s="64" t="str">
        <f>IF(OR(J111="",ISNA(MATCH(I111,po_code,0))),"",ROUND(J111*N(INDEX(po_rate,MATCH(I111,po_code,0))),2))</f>
        <v/>
      </c>
      <c r="S111" s="58" t="str">
        <f>IF(AND(A111="",B111=""),"",IF(B111="","Référence manquante",IF(ISNA(MATCH($B111,art_ref,0)),"Référence inconnue",IF(N(D111)&lt;=0,"Quantité invalide",IF(AND(A111&lt;&gt;"",COUNTIF(of_num,A111)&gt;1),"N° OF en double",IF(G111="Annulé","OK",IF(I111="","Poste manquant (gamme)",IF(ISNA(MATCH(I111,po_code,0)),"Poste inconnu",IF(K111="","Capacité du poste nulle",IF(AND(H111&lt;&gt;"",N(H111)=0),"Début imposé invalide",IF(AND(N(H111)&gt;0,WORKDAY.INTL(H111-1,1,p_weekend,p_holidays)&lt;&gt;H111),"Début un jour chômé",IF(AND(N(H111)&gt;0,H111&lt;=SUMPRODUCT(MAX(($I$6:$I110=$I111)*$M$6:$M110))),"Chevauche l'OF précédent",IF(N(F111)=0,"Date de besoin manquante","OK")))))))))))))</f>
        <v/>
      </c>
      <c r="T111" s="65" t="str">
        <f>IF(K111="","",J111/K111)</f>
        <v/>
      </c>
      <c r="U111" s="66" t="str">
        <f>IF(OR(O111="En retard",O111="Juste"),COUNTIF($O$6:O111,"En retard")+COUNTIF($O$6:O111,"Juste"),"")</f>
        <v/>
      </c>
    </row>
    <row r="112">
      <c r="A112" s="53" t="n"/>
      <c r="B112" s="53" t="n"/>
      <c r="C112" s="54" t="str">
        <f>IF(B112="","",IFERROR(INDEX(art_des,MATCH($B112,art_ref,0)),"Référence inconnue"))</f>
        <v/>
      </c>
      <c r="D112" s="55" t="n"/>
      <c r="E112" s="53" t="n"/>
      <c r="F112" s="56" t="n"/>
      <c r="G112" s="57" t="n"/>
      <c r="H112" s="56" t="n"/>
      <c r="I112" s="58" t="str">
        <f>IF(B112="","",IFERROR(INDEX(art_poste,MATCH($B112,art_ref,0))&amp;"",""))</f>
        <v/>
      </c>
      <c r="J112" s="59" t="str">
        <f>IF(OR(B112="",G112="Annulé",N(D112)&lt;=0),"",IFERROR(ROUND(INDEX(art_setup,MATCH($B112,art_ref,0))+D112*INDEX(art_cycle,MATCH($B112,art_ref,0))/60,2),""))</f>
        <v/>
      </c>
      <c r="K112" s="60" t="str">
        <f>IF(J112="","",IFERROR(MAX(1,ROUNDUP(J112/INDEX(po_cap,MATCH(I112,po_code,0)),0)),""))</f>
        <v/>
      </c>
      <c r="L112" s="61">
        <f>IF(K112="",0,IF(N(H112)&gt;0,H112,WORKDAY.INTL(MAX(p_start-1,SUMPRODUCT(MAX(($I$6:$I111=$I112)*$M$6:$M111))),1,p_weekend,p_holidays)))</f>
        <v>0.0</v>
      </c>
      <c r="M112" s="61">
        <f>IF(K112="",0,WORKDAY.INTL(L112,K112-1,p_weekend,p_holidays))</f>
        <v>0.0</v>
      </c>
      <c r="N112" s="62" t="str">
        <f>IF(OR(M112=0,N(F112)=0,G112="Terminé"),"",F112-M112)</f>
        <v/>
      </c>
      <c r="O112" s="58" t="str">
        <f>IF(B112="","",IF(G112="Annulé","Annulé",IF(G112="Terminé","Terminé",IF(M112=0,"À compléter",IF(N(F112)=0,"Sans échéance",IF(M112&gt;F112,"En retard",IF(F112-M112&lt;=p_margin,"Juste","À l'heure")))))))</f>
        <v/>
      </c>
      <c r="P112" s="55" t="n"/>
      <c r="Q112" s="63" t="str">
        <f>IF(OR(B112="",N(D112)&lt;=0),"",MIN(1,N(P112)/D112))</f>
        <v/>
      </c>
      <c r="R112" s="64" t="str">
        <f>IF(OR(J112="",ISNA(MATCH(I112,po_code,0))),"",ROUND(J112*N(INDEX(po_rate,MATCH(I112,po_code,0))),2))</f>
        <v/>
      </c>
      <c r="S112" s="58" t="str">
        <f>IF(AND(A112="",B112=""),"",IF(B112="","Référence manquante",IF(ISNA(MATCH($B112,art_ref,0)),"Référence inconnue",IF(N(D112)&lt;=0,"Quantité invalide",IF(AND(A112&lt;&gt;"",COUNTIF(of_num,A112)&gt;1),"N° OF en double",IF(G112="Annulé","OK",IF(I112="","Poste manquant (gamme)",IF(ISNA(MATCH(I112,po_code,0)),"Poste inconnu",IF(K112="","Capacité du poste nulle",IF(AND(H112&lt;&gt;"",N(H112)=0),"Début imposé invalide",IF(AND(N(H112)&gt;0,WORKDAY.INTL(H112-1,1,p_weekend,p_holidays)&lt;&gt;H112),"Début un jour chômé",IF(AND(N(H112)&gt;0,H112&lt;=SUMPRODUCT(MAX(($I$6:$I111=$I112)*$M$6:$M111))),"Chevauche l'OF précédent",IF(N(F112)=0,"Date de besoin manquante","OK")))))))))))))</f>
        <v/>
      </c>
      <c r="T112" s="65" t="str">
        <f>IF(K112="","",J112/K112)</f>
        <v/>
      </c>
      <c r="U112" s="66" t="str">
        <f>IF(OR(O112="En retard",O112="Juste"),COUNTIF($O$6:O112,"En retard")+COUNTIF($O$6:O112,"Juste"),"")</f>
        <v/>
      </c>
    </row>
    <row r="113">
      <c r="A113" s="53" t="n"/>
      <c r="B113" s="53" t="n"/>
      <c r="C113" s="54" t="str">
        <f>IF(B113="","",IFERROR(INDEX(art_des,MATCH($B113,art_ref,0)),"Référence inconnue"))</f>
        <v/>
      </c>
      <c r="D113" s="55" t="n"/>
      <c r="E113" s="53" t="n"/>
      <c r="F113" s="56" t="n"/>
      <c r="G113" s="57" t="n"/>
      <c r="H113" s="56" t="n"/>
      <c r="I113" s="58" t="str">
        <f>IF(B113="","",IFERROR(INDEX(art_poste,MATCH($B113,art_ref,0))&amp;"",""))</f>
        <v/>
      </c>
      <c r="J113" s="59" t="str">
        <f>IF(OR(B113="",G113="Annulé",N(D113)&lt;=0),"",IFERROR(ROUND(INDEX(art_setup,MATCH($B113,art_ref,0))+D113*INDEX(art_cycle,MATCH($B113,art_ref,0))/60,2),""))</f>
        <v/>
      </c>
      <c r="K113" s="60" t="str">
        <f>IF(J113="","",IFERROR(MAX(1,ROUNDUP(J113/INDEX(po_cap,MATCH(I113,po_code,0)),0)),""))</f>
        <v/>
      </c>
      <c r="L113" s="61">
        <f>IF(K113="",0,IF(N(H113)&gt;0,H113,WORKDAY.INTL(MAX(p_start-1,SUMPRODUCT(MAX(($I$6:$I112=$I113)*$M$6:$M112))),1,p_weekend,p_holidays)))</f>
        <v>0.0</v>
      </c>
      <c r="M113" s="61">
        <f>IF(K113="",0,WORKDAY.INTL(L113,K113-1,p_weekend,p_holidays))</f>
        <v>0.0</v>
      </c>
      <c r="N113" s="62" t="str">
        <f>IF(OR(M113=0,N(F113)=0,G113="Terminé"),"",F113-M113)</f>
        <v/>
      </c>
      <c r="O113" s="58" t="str">
        <f>IF(B113="","",IF(G113="Annulé","Annulé",IF(G113="Terminé","Terminé",IF(M113=0,"À compléter",IF(N(F113)=0,"Sans échéance",IF(M113&gt;F113,"En retard",IF(F113-M113&lt;=p_margin,"Juste","À l'heure")))))))</f>
        <v/>
      </c>
      <c r="P113" s="55" t="n"/>
      <c r="Q113" s="63" t="str">
        <f>IF(OR(B113="",N(D113)&lt;=0),"",MIN(1,N(P113)/D113))</f>
        <v/>
      </c>
      <c r="R113" s="64" t="str">
        <f>IF(OR(J113="",ISNA(MATCH(I113,po_code,0))),"",ROUND(J113*N(INDEX(po_rate,MATCH(I113,po_code,0))),2))</f>
        <v/>
      </c>
      <c r="S113" s="58" t="str">
        <f>IF(AND(A113="",B113=""),"",IF(B113="","Référence manquante",IF(ISNA(MATCH($B113,art_ref,0)),"Référence inconnue",IF(N(D113)&lt;=0,"Quantité invalide",IF(AND(A113&lt;&gt;"",COUNTIF(of_num,A113)&gt;1),"N° OF en double",IF(G113="Annulé","OK",IF(I113="","Poste manquant (gamme)",IF(ISNA(MATCH(I113,po_code,0)),"Poste inconnu",IF(K113="","Capacité du poste nulle",IF(AND(H113&lt;&gt;"",N(H113)=0),"Début imposé invalide",IF(AND(N(H113)&gt;0,WORKDAY.INTL(H113-1,1,p_weekend,p_holidays)&lt;&gt;H113),"Début un jour chômé",IF(AND(N(H113)&gt;0,H113&lt;=SUMPRODUCT(MAX(($I$6:$I112=$I113)*$M$6:$M112))),"Chevauche l'OF précédent",IF(N(F113)=0,"Date de besoin manquante","OK")))))))))))))</f>
        <v/>
      </c>
      <c r="T113" s="65" t="str">
        <f>IF(K113="","",J113/K113)</f>
        <v/>
      </c>
      <c r="U113" s="66" t="str">
        <f>IF(OR(O113="En retard",O113="Juste"),COUNTIF($O$6:O113,"En retard")+COUNTIF($O$6:O113,"Juste"),"")</f>
        <v/>
      </c>
    </row>
    <row r="114">
      <c r="A114" s="53" t="n"/>
      <c r="B114" s="53" t="n"/>
      <c r="C114" s="54" t="str">
        <f>IF(B114="","",IFERROR(INDEX(art_des,MATCH($B114,art_ref,0)),"Référence inconnue"))</f>
        <v/>
      </c>
      <c r="D114" s="55" t="n"/>
      <c r="E114" s="53" t="n"/>
      <c r="F114" s="56" t="n"/>
      <c r="G114" s="57" t="n"/>
      <c r="H114" s="56" t="n"/>
      <c r="I114" s="58" t="str">
        <f>IF(B114="","",IFERROR(INDEX(art_poste,MATCH($B114,art_ref,0))&amp;"",""))</f>
        <v/>
      </c>
      <c r="J114" s="59" t="str">
        <f>IF(OR(B114="",G114="Annulé",N(D114)&lt;=0),"",IFERROR(ROUND(INDEX(art_setup,MATCH($B114,art_ref,0))+D114*INDEX(art_cycle,MATCH($B114,art_ref,0))/60,2),""))</f>
        <v/>
      </c>
      <c r="K114" s="60" t="str">
        <f>IF(J114="","",IFERROR(MAX(1,ROUNDUP(J114/INDEX(po_cap,MATCH(I114,po_code,0)),0)),""))</f>
        <v/>
      </c>
      <c r="L114" s="61">
        <f>IF(K114="",0,IF(N(H114)&gt;0,H114,WORKDAY.INTL(MAX(p_start-1,SUMPRODUCT(MAX(($I$6:$I113=$I114)*$M$6:$M113))),1,p_weekend,p_holidays)))</f>
        <v>0.0</v>
      </c>
      <c r="M114" s="61">
        <f>IF(K114="",0,WORKDAY.INTL(L114,K114-1,p_weekend,p_holidays))</f>
        <v>0.0</v>
      </c>
      <c r="N114" s="62" t="str">
        <f>IF(OR(M114=0,N(F114)=0,G114="Terminé"),"",F114-M114)</f>
        <v/>
      </c>
      <c r="O114" s="58" t="str">
        <f>IF(B114="","",IF(G114="Annulé","Annulé",IF(G114="Terminé","Terminé",IF(M114=0,"À compléter",IF(N(F114)=0,"Sans échéance",IF(M114&gt;F114,"En retard",IF(F114-M114&lt;=p_margin,"Juste","À l'heure")))))))</f>
        <v/>
      </c>
      <c r="P114" s="55" t="n"/>
      <c r="Q114" s="63" t="str">
        <f>IF(OR(B114="",N(D114)&lt;=0),"",MIN(1,N(P114)/D114))</f>
        <v/>
      </c>
      <c r="R114" s="64" t="str">
        <f>IF(OR(J114="",ISNA(MATCH(I114,po_code,0))),"",ROUND(J114*N(INDEX(po_rate,MATCH(I114,po_code,0))),2))</f>
        <v/>
      </c>
      <c r="S114" s="58" t="str">
        <f>IF(AND(A114="",B114=""),"",IF(B114="","Référence manquante",IF(ISNA(MATCH($B114,art_ref,0)),"Référence inconnue",IF(N(D114)&lt;=0,"Quantité invalide",IF(AND(A114&lt;&gt;"",COUNTIF(of_num,A114)&gt;1),"N° OF en double",IF(G114="Annulé","OK",IF(I114="","Poste manquant (gamme)",IF(ISNA(MATCH(I114,po_code,0)),"Poste inconnu",IF(K114="","Capacité du poste nulle",IF(AND(H114&lt;&gt;"",N(H114)=0),"Début imposé invalide",IF(AND(N(H114)&gt;0,WORKDAY.INTL(H114-1,1,p_weekend,p_holidays)&lt;&gt;H114),"Début un jour chômé",IF(AND(N(H114)&gt;0,H114&lt;=SUMPRODUCT(MAX(($I$6:$I113=$I114)*$M$6:$M113))),"Chevauche l'OF précédent",IF(N(F114)=0,"Date de besoin manquante","OK")))))))))))))</f>
        <v/>
      </c>
      <c r="T114" s="65" t="str">
        <f>IF(K114="","",J114/K114)</f>
        <v/>
      </c>
      <c r="U114" s="66" t="str">
        <f>IF(OR(O114="En retard",O114="Juste"),COUNTIF($O$6:O114,"En retard")+COUNTIF($O$6:O114,"Juste"),"")</f>
        <v/>
      </c>
    </row>
    <row r="115">
      <c r="A115" s="53" t="n"/>
      <c r="B115" s="53" t="n"/>
      <c r="C115" s="54" t="str">
        <f>IF(B115="","",IFERROR(INDEX(art_des,MATCH($B115,art_ref,0)),"Référence inconnue"))</f>
        <v/>
      </c>
      <c r="D115" s="55" t="n"/>
      <c r="E115" s="53" t="n"/>
      <c r="F115" s="56" t="n"/>
      <c r="G115" s="57" t="n"/>
      <c r="H115" s="56" t="n"/>
      <c r="I115" s="58" t="str">
        <f>IF(B115="","",IFERROR(INDEX(art_poste,MATCH($B115,art_ref,0))&amp;"",""))</f>
        <v/>
      </c>
      <c r="J115" s="59" t="str">
        <f>IF(OR(B115="",G115="Annulé",N(D115)&lt;=0),"",IFERROR(ROUND(INDEX(art_setup,MATCH($B115,art_ref,0))+D115*INDEX(art_cycle,MATCH($B115,art_ref,0))/60,2),""))</f>
        <v/>
      </c>
      <c r="K115" s="60" t="str">
        <f>IF(J115="","",IFERROR(MAX(1,ROUNDUP(J115/INDEX(po_cap,MATCH(I115,po_code,0)),0)),""))</f>
        <v/>
      </c>
      <c r="L115" s="61">
        <f>IF(K115="",0,IF(N(H115)&gt;0,H115,WORKDAY.INTL(MAX(p_start-1,SUMPRODUCT(MAX(($I$6:$I114=$I115)*$M$6:$M114))),1,p_weekend,p_holidays)))</f>
        <v>0.0</v>
      </c>
      <c r="M115" s="61">
        <f>IF(K115="",0,WORKDAY.INTL(L115,K115-1,p_weekend,p_holidays))</f>
        <v>0.0</v>
      </c>
      <c r="N115" s="62" t="str">
        <f>IF(OR(M115=0,N(F115)=0,G115="Terminé"),"",F115-M115)</f>
        <v/>
      </c>
      <c r="O115" s="58" t="str">
        <f>IF(B115="","",IF(G115="Annulé","Annulé",IF(G115="Terminé","Terminé",IF(M115=0,"À compléter",IF(N(F115)=0,"Sans échéance",IF(M115&gt;F115,"En retard",IF(F115-M115&lt;=p_margin,"Juste","À l'heure")))))))</f>
        <v/>
      </c>
      <c r="P115" s="55" t="n"/>
      <c r="Q115" s="63" t="str">
        <f>IF(OR(B115="",N(D115)&lt;=0),"",MIN(1,N(P115)/D115))</f>
        <v/>
      </c>
      <c r="R115" s="64" t="str">
        <f>IF(OR(J115="",ISNA(MATCH(I115,po_code,0))),"",ROUND(J115*N(INDEX(po_rate,MATCH(I115,po_code,0))),2))</f>
        <v/>
      </c>
      <c r="S115" s="58" t="str">
        <f>IF(AND(A115="",B115=""),"",IF(B115="","Référence manquante",IF(ISNA(MATCH($B115,art_ref,0)),"Référence inconnue",IF(N(D115)&lt;=0,"Quantité invalide",IF(AND(A115&lt;&gt;"",COUNTIF(of_num,A115)&gt;1),"N° OF en double",IF(G115="Annulé","OK",IF(I115="","Poste manquant (gamme)",IF(ISNA(MATCH(I115,po_code,0)),"Poste inconnu",IF(K115="","Capacité du poste nulle",IF(AND(H115&lt;&gt;"",N(H115)=0),"Début imposé invalide",IF(AND(N(H115)&gt;0,WORKDAY.INTL(H115-1,1,p_weekend,p_holidays)&lt;&gt;H115),"Début un jour chômé",IF(AND(N(H115)&gt;0,H115&lt;=SUMPRODUCT(MAX(($I$6:$I114=$I115)*$M$6:$M114))),"Chevauche l'OF précédent",IF(N(F115)=0,"Date de besoin manquante","OK")))))))))))))</f>
        <v/>
      </c>
      <c r="T115" s="65" t="str">
        <f>IF(K115="","",J115/K115)</f>
        <v/>
      </c>
      <c r="U115" s="66" t="str">
        <f>IF(OR(O115="En retard",O115="Juste"),COUNTIF($O$6:O115,"En retard")+COUNTIF($O$6:O115,"Juste"),"")</f>
        <v/>
      </c>
    </row>
    <row r="116">
      <c r="A116" s="53" t="n"/>
      <c r="B116" s="53" t="n"/>
      <c r="C116" s="54" t="str">
        <f>IF(B116="","",IFERROR(INDEX(art_des,MATCH($B116,art_ref,0)),"Référence inconnue"))</f>
        <v/>
      </c>
      <c r="D116" s="55" t="n"/>
      <c r="E116" s="53" t="n"/>
      <c r="F116" s="56" t="n"/>
      <c r="G116" s="57" t="n"/>
      <c r="H116" s="56" t="n"/>
      <c r="I116" s="58" t="str">
        <f>IF(B116="","",IFERROR(INDEX(art_poste,MATCH($B116,art_ref,0))&amp;"",""))</f>
        <v/>
      </c>
      <c r="J116" s="59" t="str">
        <f>IF(OR(B116="",G116="Annulé",N(D116)&lt;=0),"",IFERROR(ROUND(INDEX(art_setup,MATCH($B116,art_ref,0))+D116*INDEX(art_cycle,MATCH($B116,art_ref,0))/60,2),""))</f>
        <v/>
      </c>
      <c r="K116" s="60" t="str">
        <f>IF(J116="","",IFERROR(MAX(1,ROUNDUP(J116/INDEX(po_cap,MATCH(I116,po_code,0)),0)),""))</f>
        <v/>
      </c>
      <c r="L116" s="61">
        <f>IF(K116="",0,IF(N(H116)&gt;0,H116,WORKDAY.INTL(MAX(p_start-1,SUMPRODUCT(MAX(($I$6:$I115=$I116)*$M$6:$M115))),1,p_weekend,p_holidays)))</f>
        <v>0.0</v>
      </c>
      <c r="M116" s="61">
        <f>IF(K116="",0,WORKDAY.INTL(L116,K116-1,p_weekend,p_holidays))</f>
        <v>0.0</v>
      </c>
      <c r="N116" s="62" t="str">
        <f>IF(OR(M116=0,N(F116)=0,G116="Terminé"),"",F116-M116)</f>
        <v/>
      </c>
      <c r="O116" s="58" t="str">
        <f>IF(B116="","",IF(G116="Annulé","Annulé",IF(G116="Terminé","Terminé",IF(M116=0,"À compléter",IF(N(F116)=0,"Sans échéance",IF(M116&gt;F116,"En retard",IF(F116-M116&lt;=p_margin,"Juste","À l'heure")))))))</f>
        <v/>
      </c>
      <c r="P116" s="55" t="n"/>
      <c r="Q116" s="63" t="str">
        <f>IF(OR(B116="",N(D116)&lt;=0),"",MIN(1,N(P116)/D116))</f>
        <v/>
      </c>
      <c r="R116" s="64" t="str">
        <f>IF(OR(J116="",ISNA(MATCH(I116,po_code,0))),"",ROUND(J116*N(INDEX(po_rate,MATCH(I116,po_code,0))),2))</f>
        <v/>
      </c>
      <c r="S116" s="58" t="str">
        <f>IF(AND(A116="",B116=""),"",IF(B116="","Référence manquante",IF(ISNA(MATCH($B116,art_ref,0)),"Référence inconnue",IF(N(D116)&lt;=0,"Quantité invalide",IF(AND(A116&lt;&gt;"",COUNTIF(of_num,A116)&gt;1),"N° OF en double",IF(G116="Annulé","OK",IF(I116="","Poste manquant (gamme)",IF(ISNA(MATCH(I116,po_code,0)),"Poste inconnu",IF(K116="","Capacité du poste nulle",IF(AND(H116&lt;&gt;"",N(H116)=0),"Début imposé invalide",IF(AND(N(H116)&gt;0,WORKDAY.INTL(H116-1,1,p_weekend,p_holidays)&lt;&gt;H116),"Début un jour chômé",IF(AND(N(H116)&gt;0,H116&lt;=SUMPRODUCT(MAX(($I$6:$I115=$I116)*$M$6:$M115))),"Chevauche l'OF précédent",IF(N(F116)=0,"Date de besoin manquante","OK")))))))))))))</f>
        <v/>
      </c>
      <c r="T116" s="65" t="str">
        <f>IF(K116="","",J116/K116)</f>
        <v/>
      </c>
      <c r="U116" s="66" t="str">
        <f>IF(OR(O116="En retard",O116="Juste"),COUNTIF($O$6:O116,"En retard")+COUNTIF($O$6:O116,"Juste"),"")</f>
        <v/>
      </c>
    </row>
    <row r="117">
      <c r="A117" s="53" t="n"/>
      <c r="B117" s="53" t="n"/>
      <c r="C117" s="54" t="str">
        <f>IF(B117="","",IFERROR(INDEX(art_des,MATCH($B117,art_ref,0)),"Référence inconnue"))</f>
        <v/>
      </c>
      <c r="D117" s="55" t="n"/>
      <c r="E117" s="53" t="n"/>
      <c r="F117" s="56" t="n"/>
      <c r="G117" s="57" t="n"/>
      <c r="H117" s="56" t="n"/>
      <c r="I117" s="58" t="str">
        <f>IF(B117="","",IFERROR(INDEX(art_poste,MATCH($B117,art_ref,0))&amp;"",""))</f>
        <v/>
      </c>
      <c r="J117" s="59" t="str">
        <f>IF(OR(B117="",G117="Annulé",N(D117)&lt;=0),"",IFERROR(ROUND(INDEX(art_setup,MATCH($B117,art_ref,0))+D117*INDEX(art_cycle,MATCH($B117,art_ref,0))/60,2),""))</f>
        <v/>
      </c>
      <c r="K117" s="60" t="str">
        <f>IF(J117="","",IFERROR(MAX(1,ROUNDUP(J117/INDEX(po_cap,MATCH(I117,po_code,0)),0)),""))</f>
        <v/>
      </c>
      <c r="L117" s="61">
        <f>IF(K117="",0,IF(N(H117)&gt;0,H117,WORKDAY.INTL(MAX(p_start-1,SUMPRODUCT(MAX(($I$6:$I116=$I117)*$M$6:$M116))),1,p_weekend,p_holidays)))</f>
        <v>0.0</v>
      </c>
      <c r="M117" s="61">
        <f>IF(K117="",0,WORKDAY.INTL(L117,K117-1,p_weekend,p_holidays))</f>
        <v>0.0</v>
      </c>
      <c r="N117" s="62" t="str">
        <f>IF(OR(M117=0,N(F117)=0,G117="Terminé"),"",F117-M117)</f>
        <v/>
      </c>
      <c r="O117" s="58" t="str">
        <f>IF(B117="","",IF(G117="Annulé","Annulé",IF(G117="Terminé","Terminé",IF(M117=0,"À compléter",IF(N(F117)=0,"Sans échéance",IF(M117&gt;F117,"En retard",IF(F117-M117&lt;=p_margin,"Juste","À l'heure")))))))</f>
        <v/>
      </c>
      <c r="P117" s="55" t="n"/>
      <c r="Q117" s="63" t="str">
        <f>IF(OR(B117="",N(D117)&lt;=0),"",MIN(1,N(P117)/D117))</f>
        <v/>
      </c>
      <c r="R117" s="64" t="str">
        <f>IF(OR(J117="",ISNA(MATCH(I117,po_code,0))),"",ROUND(J117*N(INDEX(po_rate,MATCH(I117,po_code,0))),2))</f>
        <v/>
      </c>
      <c r="S117" s="58" t="str">
        <f>IF(AND(A117="",B117=""),"",IF(B117="","Référence manquante",IF(ISNA(MATCH($B117,art_ref,0)),"Référence inconnue",IF(N(D117)&lt;=0,"Quantité invalide",IF(AND(A117&lt;&gt;"",COUNTIF(of_num,A117)&gt;1),"N° OF en double",IF(G117="Annulé","OK",IF(I117="","Poste manquant (gamme)",IF(ISNA(MATCH(I117,po_code,0)),"Poste inconnu",IF(K117="","Capacité du poste nulle",IF(AND(H117&lt;&gt;"",N(H117)=0),"Début imposé invalide",IF(AND(N(H117)&gt;0,WORKDAY.INTL(H117-1,1,p_weekend,p_holidays)&lt;&gt;H117),"Début un jour chômé",IF(AND(N(H117)&gt;0,H117&lt;=SUMPRODUCT(MAX(($I$6:$I116=$I117)*$M$6:$M116))),"Chevauche l'OF précédent",IF(N(F117)=0,"Date de besoin manquante","OK")))))))))))))</f>
        <v/>
      </c>
      <c r="T117" s="65" t="str">
        <f>IF(K117="","",J117/K117)</f>
        <v/>
      </c>
      <c r="U117" s="66" t="str">
        <f>IF(OR(O117="En retard",O117="Juste"),COUNTIF($O$6:O117,"En retard")+COUNTIF($O$6:O117,"Juste"),"")</f>
        <v/>
      </c>
    </row>
    <row r="118">
      <c r="A118" s="53" t="n"/>
      <c r="B118" s="53" t="n"/>
      <c r="C118" s="54" t="str">
        <f>IF(B118="","",IFERROR(INDEX(art_des,MATCH($B118,art_ref,0)),"Référence inconnue"))</f>
        <v/>
      </c>
      <c r="D118" s="55" t="n"/>
      <c r="E118" s="53" t="n"/>
      <c r="F118" s="56" t="n"/>
      <c r="G118" s="57" t="n"/>
      <c r="H118" s="56" t="n"/>
      <c r="I118" s="58" t="str">
        <f>IF(B118="","",IFERROR(INDEX(art_poste,MATCH($B118,art_ref,0))&amp;"",""))</f>
        <v/>
      </c>
      <c r="J118" s="59" t="str">
        <f>IF(OR(B118="",G118="Annulé",N(D118)&lt;=0),"",IFERROR(ROUND(INDEX(art_setup,MATCH($B118,art_ref,0))+D118*INDEX(art_cycle,MATCH($B118,art_ref,0))/60,2),""))</f>
        <v/>
      </c>
      <c r="K118" s="60" t="str">
        <f>IF(J118="","",IFERROR(MAX(1,ROUNDUP(J118/INDEX(po_cap,MATCH(I118,po_code,0)),0)),""))</f>
        <v/>
      </c>
      <c r="L118" s="61">
        <f>IF(K118="",0,IF(N(H118)&gt;0,H118,WORKDAY.INTL(MAX(p_start-1,SUMPRODUCT(MAX(($I$6:$I117=$I118)*$M$6:$M117))),1,p_weekend,p_holidays)))</f>
        <v>0.0</v>
      </c>
      <c r="M118" s="61">
        <f>IF(K118="",0,WORKDAY.INTL(L118,K118-1,p_weekend,p_holidays))</f>
        <v>0.0</v>
      </c>
      <c r="N118" s="62" t="str">
        <f>IF(OR(M118=0,N(F118)=0,G118="Terminé"),"",F118-M118)</f>
        <v/>
      </c>
      <c r="O118" s="58" t="str">
        <f>IF(B118="","",IF(G118="Annulé","Annulé",IF(G118="Terminé","Terminé",IF(M118=0,"À compléter",IF(N(F118)=0,"Sans échéance",IF(M118&gt;F118,"En retard",IF(F118-M118&lt;=p_margin,"Juste","À l'heure")))))))</f>
        <v/>
      </c>
      <c r="P118" s="55" t="n"/>
      <c r="Q118" s="63" t="str">
        <f>IF(OR(B118="",N(D118)&lt;=0),"",MIN(1,N(P118)/D118))</f>
        <v/>
      </c>
      <c r="R118" s="64" t="str">
        <f>IF(OR(J118="",ISNA(MATCH(I118,po_code,0))),"",ROUND(J118*N(INDEX(po_rate,MATCH(I118,po_code,0))),2))</f>
        <v/>
      </c>
      <c r="S118" s="58" t="str">
        <f>IF(AND(A118="",B118=""),"",IF(B118="","Référence manquante",IF(ISNA(MATCH($B118,art_ref,0)),"Référence inconnue",IF(N(D118)&lt;=0,"Quantité invalide",IF(AND(A118&lt;&gt;"",COUNTIF(of_num,A118)&gt;1),"N° OF en double",IF(G118="Annulé","OK",IF(I118="","Poste manquant (gamme)",IF(ISNA(MATCH(I118,po_code,0)),"Poste inconnu",IF(K118="","Capacité du poste nulle",IF(AND(H118&lt;&gt;"",N(H118)=0),"Début imposé invalide",IF(AND(N(H118)&gt;0,WORKDAY.INTL(H118-1,1,p_weekend,p_holidays)&lt;&gt;H118),"Début un jour chômé",IF(AND(N(H118)&gt;0,H118&lt;=SUMPRODUCT(MAX(($I$6:$I117=$I118)*$M$6:$M117))),"Chevauche l'OF précédent",IF(N(F118)=0,"Date de besoin manquante","OK")))))))))))))</f>
        <v/>
      </c>
      <c r="T118" s="65" t="str">
        <f>IF(K118="","",J118/K118)</f>
        <v/>
      </c>
      <c r="U118" s="66" t="str">
        <f>IF(OR(O118="En retard",O118="Juste"),COUNTIF($O$6:O118,"En retard")+COUNTIF($O$6:O118,"Juste"),"")</f>
        <v/>
      </c>
    </row>
    <row r="119">
      <c r="A119" s="53" t="n"/>
      <c r="B119" s="53" t="n"/>
      <c r="C119" s="54" t="str">
        <f>IF(B119="","",IFERROR(INDEX(art_des,MATCH($B119,art_ref,0)),"Référence inconnue"))</f>
        <v/>
      </c>
      <c r="D119" s="55" t="n"/>
      <c r="E119" s="53" t="n"/>
      <c r="F119" s="56" t="n"/>
      <c r="G119" s="57" t="n"/>
      <c r="H119" s="56" t="n"/>
      <c r="I119" s="58" t="str">
        <f>IF(B119="","",IFERROR(INDEX(art_poste,MATCH($B119,art_ref,0))&amp;"",""))</f>
        <v/>
      </c>
      <c r="J119" s="59" t="str">
        <f>IF(OR(B119="",G119="Annulé",N(D119)&lt;=0),"",IFERROR(ROUND(INDEX(art_setup,MATCH($B119,art_ref,0))+D119*INDEX(art_cycle,MATCH($B119,art_ref,0))/60,2),""))</f>
        <v/>
      </c>
      <c r="K119" s="60" t="str">
        <f>IF(J119="","",IFERROR(MAX(1,ROUNDUP(J119/INDEX(po_cap,MATCH(I119,po_code,0)),0)),""))</f>
        <v/>
      </c>
      <c r="L119" s="61">
        <f>IF(K119="",0,IF(N(H119)&gt;0,H119,WORKDAY.INTL(MAX(p_start-1,SUMPRODUCT(MAX(($I$6:$I118=$I119)*$M$6:$M118))),1,p_weekend,p_holidays)))</f>
        <v>0.0</v>
      </c>
      <c r="M119" s="61">
        <f>IF(K119="",0,WORKDAY.INTL(L119,K119-1,p_weekend,p_holidays))</f>
        <v>0.0</v>
      </c>
      <c r="N119" s="62" t="str">
        <f>IF(OR(M119=0,N(F119)=0,G119="Terminé"),"",F119-M119)</f>
        <v/>
      </c>
      <c r="O119" s="58" t="str">
        <f>IF(B119="","",IF(G119="Annulé","Annulé",IF(G119="Terminé","Terminé",IF(M119=0,"À compléter",IF(N(F119)=0,"Sans échéance",IF(M119&gt;F119,"En retard",IF(F119-M119&lt;=p_margin,"Juste","À l'heure")))))))</f>
        <v/>
      </c>
      <c r="P119" s="55" t="n"/>
      <c r="Q119" s="63" t="str">
        <f>IF(OR(B119="",N(D119)&lt;=0),"",MIN(1,N(P119)/D119))</f>
        <v/>
      </c>
      <c r="R119" s="64" t="str">
        <f>IF(OR(J119="",ISNA(MATCH(I119,po_code,0))),"",ROUND(J119*N(INDEX(po_rate,MATCH(I119,po_code,0))),2))</f>
        <v/>
      </c>
      <c r="S119" s="58" t="str">
        <f>IF(AND(A119="",B119=""),"",IF(B119="","Référence manquante",IF(ISNA(MATCH($B119,art_ref,0)),"Référence inconnue",IF(N(D119)&lt;=0,"Quantité invalide",IF(AND(A119&lt;&gt;"",COUNTIF(of_num,A119)&gt;1),"N° OF en double",IF(G119="Annulé","OK",IF(I119="","Poste manquant (gamme)",IF(ISNA(MATCH(I119,po_code,0)),"Poste inconnu",IF(K119="","Capacité du poste nulle",IF(AND(H119&lt;&gt;"",N(H119)=0),"Début imposé invalide",IF(AND(N(H119)&gt;0,WORKDAY.INTL(H119-1,1,p_weekend,p_holidays)&lt;&gt;H119),"Début un jour chômé",IF(AND(N(H119)&gt;0,H119&lt;=SUMPRODUCT(MAX(($I$6:$I118=$I119)*$M$6:$M118))),"Chevauche l'OF précédent",IF(N(F119)=0,"Date de besoin manquante","OK")))))))))))))</f>
        <v/>
      </c>
      <c r="T119" s="65" t="str">
        <f>IF(K119="","",J119/K119)</f>
        <v/>
      </c>
      <c r="U119" s="66" t="str">
        <f>IF(OR(O119="En retard",O119="Juste"),COUNTIF($O$6:O119,"En retard")+COUNTIF($O$6:O119,"Juste"),"")</f>
        <v/>
      </c>
    </row>
    <row r="120">
      <c r="A120" s="53" t="n"/>
      <c r="B120" s="53" t="n"/>
      <c r="C120" s="54" t="str">
        <f>IF(B120="","",IFERROR(INDEX(art_des,MATCH($B120,art_ref,0)),"Référence inconnue"))</f>
        <v/>
      </c>
      <c r="D120" s="55" t="n"/>
      <c r="E120" s="53" t="n"/>
      <c r="F120" s="56" t="n"/>
      <c r="G120" s="57" t="n"/>
      <c r="H120" s="56" t="n"/>
      <c r="I120" s="58" t="str">
        <f>IF(B120="","",IFERROR(INDEX(art_poste,MATCH($B120,art_ref,0))&amp;"",""))</f>
        <v/>
      </c>
      <c r="J120" s="59" t="str">
        <f>IF(OR(B120="",G120="Annulé",N(D120)&lt;=0),"",IFERROR(ROUND(INDEX(art_setup,MATCH($B120,art_ref,0))+D120*INDEX(art_cycle,MATCH($B120,art_ref,0))/60,2),""))</f>
        <v/>
      </c>
      <c r="K120" s="60" t="str">
        <f>IF(J120="","",IFERROR(MAX(1,ROUNDUP(J120/INDEX(po_cap,MATCH(I120,po_code,0)),0)),""))</f>
        <v/>
      </c>
      <c r="L120" s="61">
        <f>IF(K120="",0,IF(N(H120)&gt;0,H120,WORKDAY.INTL(MAX(p_start-1,SUMPRODUCT(MAX(($I$6:$I119=$I120)*$M$6:$M119))),1,p_weekend,p_holidays)))</f>
        <v>0.0</v>
      </c>
      <c r="M120" s="61">
        <f>IF(K120="",0,WORKDAY.INTL(L120,K120-1,p_weekend,p_holidays))</f>
        <v>0.0</v>
      </c>
      <c r="N120" s="62" t="str">
        <f>IF(OR(M120=0,N(F120)=0,G120="Terminé"),"",F120-M120)</f>
        <v/>
      </c>
      <c r="O120" s="58" t="str">
        <f>IF(B120="","",IF(G120="Annulé","Annulé",IF(G120="Terminé","Terminé",IF(M120=0,"À compléter",IF(N(F120)=0,"Sans échéance",IF(M120&gt;F120,"En retard",IF(F120-M120&lt;=p_margin,"Juste","À l'heure")))))))</f>
        <v/>
      </c>
      <c r="P120" s="55" t="n"/>
      <c r="Q120" s="63" t="str">
        <f>IF(OR(B120="",N(D120)&lt;=0),"",MIN(1,N(P120)/D120))</f>
        <v/>
      </c>
      <c r="R120" s="64" t="str">
        <f>IF(OR(J120="",ISNA(MATCH(I120,po_code,0))),"",ROUND(J120*N(INDEX(po_rate,MATCH(I120,po_code,0))),2))</f>
        <v/>
      </c>
      <c r="S120" s="58" t="str">
        <f>IF(AND(A120="",B120=""),"",IF(B120="","Référence manquante",IF(ISNA(MATCH($B120,art_ref,0)),"Référence inconnue",IF(N(D120)&lt;=0,"Quantité invalide",IF(AND(A120&lt;&gt;"",COUNTIF(of_num,A120)&gt;1),"N° OF en double",IF(G120="Annulé","OK",IF(I120="","Poste manquant (gamme)",IF(ISNA(MATCH(I120,po_code,0)),"Poste inconnu",IF(K120="","Capacité du poste nulle",IF(AND(H120&lt;&gt;"",N(H120)=0),"Début imposé invalide",IF(AND(N(H120)&gt;0,WORKDAY.INTL(H120-1,1,p_weekend,p_holidays)&lt;&gt;H120),"Début un jour chômé",IF(AND(N(H120)&gt;0,H120&lt;=SUMPRODUCT(MAX(($I$6:$I119=$I120)*$M$6:$M119))),"Chevauche l'OF précédent",IF(N(F120)=0,"Date de besoin manquante","OK")))))))))))))</f>
        <v/>
      </c>
      <c r="T120" s="65" t="str">
        <f>IF(K120="","",J120/K120)</f>
        <v/>
      </c>
      <c r="U120" s="66" t="str">
        <f>IF(OR(O120="En retard",O120="Juste"),COUNTIF($O$6:O120,"En retard")+COUNTIF($O$6:O120,"Juste"),"")</f>
        <v/>
      </c>
    </row>
    <row r="121">
      <c r="A121" s="53" t="n"/>
      <c r="B121" s="53" t="n"/>
      <c r="C121" s="54" t="str">
        <f>IF(B121="","",IFERROR(INDEX(art_des,MATCH($B121,art_ref,0)),"Référence inconnue"))</f>
        <v/>
      </c>
      <c r="D121" s="55" t="n"/>
      <c r="E121" s="53" t="n"/>
      <c r="F121" s="56" t="n"/>
      <c r="G121" s="57" t="n"/>
      <c r="H121" s="56" t="n"/>
      <c r="I121" s="58" t="str">
        <f>IF(B121="","",IFERROR(INDEX(art_poste,MATCH($B121,art_ref,0))&amp;"",""))</f>
        <v/>
      </c>
      <c r="J121" s="59" t="str">
        <f>IF(OR(B121="",G121="Annulé",N(D121)&lt;=0),"",IFERROR(ROUND(INDEX(art_setup,MATCH($B121,art_ref,0))+D121*INDEX(art_cycle,MATCH($B121,art_ref,0))/60,2),""))</f>
        <v/>
      </c>
      <c r="K121" s="60" t="str">
        <f>IF(J121="","",IFERROR(MAX(1,ROUNDUP(J121/INDEX(po_cap,MATCH(I121,po_code,0)),0)),""))</f>
        <v/>
      </c>
      <c r="L121" s="61">
        <f>IF(K121="",0,IF(N(H121)&gt;0,H121,WORKDAY.INTL(MAX(p_start-1,SUMPRODUCT(MAX(($I$6:$I120=$I121)*$M$6:$M120))),1,p_weekend,p_holidays)))</f>
        <v>0.0</v>
      </c>
      <c r="M121" s="61">
        <f>IF(K121="",0,WORKDAY.INTL(L121,K121-1,p_weekend,p_holidays))</f>
        <v>0.0</v>
      </c>
      <c r="N121" s="62" t="str">
        <f>IF(OR(M121=0,N(F121)=0,G121="Terminé"),"",F121-M121)</f>
        <v/>
      </c>
      <c r="O121" s="58" t="str">
        <f>IF(B121="","",IF(G121="Annulé","Annulé",IF(G121="Terminé","Terminé",IF(M121=0,"À compléter",IF(N(F121)=0,"Sans échéance",IF(M121&gt;F121,"En retard",IF(F121-M121&lt;=p_margin,"Juste","À l'heure")))))))</f>
        <v/>
      </c>
      <c r="P121" s="55" t="n"/>
      <c r="Q121" s="63" t="str">
        <f>IF(OR(B121="",N(D121)&lt;=0),"",MIN(1,N(P121)/D121))</f>
        <v/>
      </c>
      <c r="R121" s="64" t="str">
        <f>IF(OR(J121="",ISNA(MATCH(I121,po_code,0))),"",ROUND(J121*N(INDEX(po_rate,MATCH(I121,po_code,0))),2))</f>
        <v/>
      </c>
      <c r="S121" s="58" t="str">
        <f>IF(AND(A121="",B121=""),"",IF(B121="","Référence manquante",IF(ISNA(MATCH($B121,art_ref,0)),"Référence inconnue",IF(N(D121)&lt;=0,"Quantité invalide",IF(AND(A121&lt;&gt;"",COUNTIF(of_num,A121)&gt;1),"N° OF en double",IF(G121="Annulé","OK",IF(I121="","Poste manquant (gamme)",IF(ISNA(MATCH(I121,po_code,0)),"Poste inconnu",IF(K121="","Capacité du poste nulle",IF(AND(H121&lt;&gt;"",N(H121)=0),"Début imposé invalide",IF(AND(N(H121)&gt;0,WORKDAY.INTL(H121-1,1,p_weekend,p_holidays)&lt;&gt;H121),"Début un jour chômé",IF(AND(N(H121)&gt;0,H121&lt;=SUMPRODUCT(MAX(($I$6:$I120=$I121)*$M$6:$M120))),"Chevauche l'OF précédent",IF(N(F121)=0,"Date de besoin manquante","OK")))))))))))))</f>
        <v/>
      </c>
      <c r="T121" s="65" t="str">
        <f>IF(K121="","",J121/K121)</f>
        <v/>
      </c>
      <c r="U121" s="66" t="str">
        <f>IF(OR(O121="En retard",O121="Juste"),COUNTIF($O$6:O121,"En retard")+COUNTIF($O$6:O121,"Juste"),"")</f>
        <v/>
      </c>
    </row>
    <row r="122">
      <c r="A122" s="53" t="n"/>
      <c r="B122" s="53" t="n"/>
      <c r="C122" s="54" t="str">
        <f>IF(B122="","",IFERROR(INDEX(art_des,MATCH($B122,art_ref,0)),"Référence inconnue"))</f>
        <v/>
      </c>
      <c r="D122" s="55" t="n"/>
      <c r="E122" s="53" t="n"/>
      <c r="F122" s="56" t="n"/>
      <c r="G122" s="57" t="n"/>
      <c r="H122" s="56" t="n"/>
      <c r="I122" s="58" t="str">
        <f>IF(B122="","",IFERROR(INDEX(art_poste,MATCH($B122,art_ref,0))&amp;"",""))</f>
        <v/>
      </c>
      <c r="J122" s="59" t="str">
        <f>IF(OR(B122="",G122="Annulé",N(D122)&lt;=0),"",IFERROR(ROUND(INDEX(art_setup,MATCH($B122,art_ref,0))+D122*INDEX(art_cycle,MATCH($B122,art_ref,0))/60,2),""))</f>
        <v/>
      </c>
      <c r="K122" s="60" t="str">
        <f>IF(J122="","",IFERROR(MAX(1,ROUNDUP(J122/INDEX(po_cap,MATCH(I122,po_code,0)),0)),""))</f>
        <v/>
      </c>
      <c r="L122" s="61">
        <f>IF(K122="",0,IF(N(H122)&gt;0,H122,WORKDAY.INTL(MAX(p_start-1,SUMPRODUCT(MAX(($I$6:$I121=$I122)*$M$6:$M121))),1,p_weekend,p_holidays)))</f>
        <v>0.0</v>
      </c>
      <c r="M122" s="61">
        <f>IF(K122="",0,WORKDAY.INTL(L122,K122-1,p_weekend,p_holidays))</f>
        <v>0.0</v>
      </c>
      <c r="N122" s="62" t="str">
        <f>IF(OR(M122=0,N(F122)=0,G122="Terminé"),"",F122-M122)</f>
        <v/>
      </c>
      <c r="O122" s="58" t="str">
        <f>IF(B122="","",IF(G122="Annulé","Annulé",IF(G122="Terminé","Terminé",IF(M122=0,"À compléter",IF(N(F122)=0,"Sans échéance",IF(M122&gt;F122,"En retard",IF(F122-M122&lt;=p_margin,"Juste","À l'heure")))))))</f>
        <v/>
      </c>
      <c r="P122" s="55" t="n"/>
      <c r="Q122" s="63" t="str">
        <f>IF(OR(B122="",N(D122)&lt;=0),"",MIN(1,N(P122)/D122))</f>
        <v/>
      </c>
      <c r="R122" s="64" t="str">
        <f>IF(OR(J122="",ISNA(MATCH(I122,po_code,0))),"",ROUND(J122*N(INDEX(po_rate,MATCH(I122,po_code,0))),2))</f>
        <v/>
      </c>
      <c r="S122" s="58" t="str">
        <f>IF(AND(A122="",B122=""),"",IF(B122="","Référence manquante",IF(ISNA(MATCH($B122,art_ref,0)),"Référence inconnue",IF(N(D122)&lt;=0,"Quantité invalide",IF(AND(A122&lt;&gt;"",COUNTIF(of_num,A122)&gt;1),"N° OF en double",IF(G122="Annulé","OK",IF(I122="","Poste manquant (gamme)",IF(ISNA(MATCH(I122,po_code,0)),"Poste inconnu",IF(K122="","Capacité du poste nulle",IF(AND(H122&lt;&gt;"",N(H122)=0),"Début imposé invalide",IF(AND(N(H122)&gt;0,WORKDAY.INTL(H122-1,1,p_weekend,p_holidays)&lt;&gt;H122),"Début un jour chômé",IF(AND(N(H122)&gt;0,H122&lt;=SUMPRODUCT(MAX(($I$6:$I121=$I122)*$M$6:$M121))),"Chevauche l'OF précédent",IF(N(F122)=0,"Date de besoin manquante","OK")))))))))))))</f>
        <v/>
      </c>
      <c r="T122" s="65" t="str">
        <f>IF(K122="","",J122/K122)</f>
        <v/>
      </c>
      <c r="U122" s="66" t="str">
        <f>IF(OR(O122="En retard",O122="Juste"),COUNTIF($O$6:O122,"En retard")+COUNTIF($O$6:O122,"Juste"),"")</f>
        <v/>
      </c>
    </row>
    <row r="123">
      <c r="A123" s="53" t="n"/>
      <c r="B123" s="53" t="n"/>
      <c r="C123" s="54" t="str">
        <f>IF(B123="","",IFERROR(INDEX(art_des,MATCH($B123,art_ref,0)),"Référence inconnue"))</f>
        <v/>
      </c>
      <c r="D123" s="55" t="n"/>
      <c r="E123" s="53" t="n"/>
      <c r="F123" s="56" t="n"/>
      <c r="G123" s="57" t="n"/>
      <c r="H123" s="56" t="n"/>
      <c r="I123" s="58" t="str">
        <f>IF(B123="","",IFERROR(INDEX(art_poste,MATCH($B123,art_ref,0))&amp;"",""))</f>
        <v/>
      </c>
      <c r="J123" s="59" t="str">
        <f>IF(OR(B123="",G123="Annulé",N(D123)&lt;=0),"",IFERROR(ROUND(INDEX(art_setup,MATCH($B123,art_ref,0))+D123*INDEX(art_cycle,MATCH($B123,art_ref,0))/60,2),""))</f>
        <v/>
      </c>
      <c r="K123" s="60" t="str">
        <f>IF(J123="","",IFERROR(MAX(1,ROUNDUP(J123/INDEX(po_cap,MATCH(I123,po_code,0)),0)),""))</f>
        <v/>
      </c>
      <c r="L123" s="61">
        <f>IF(K123="",0,IF(N(H123)&gt;0,H123,WORKDAY.INTL(MAX(p_start-1,SUMPRODUCT(MAX(($I$6:$I122=$I123)*$M$6:$M122))),1,p_weekend,p_holidays)))</f>
        <v>0.0</v>
      </c>
      <c r="M123" s="61">
        <f>IF(K123="",0,WORKDAY.INTL(L123,K123-1,p_weekend,p_holidays))</f>
        <v>0.0</v>
      </c>
      <c r="N123" s="62" t="str">
        <f>IF(OR(M123=0,N(F123)=0,G123="Terminé"),"",F123-M123)</f>
        <v/>
      </c>
      <c r="O123" s="58" t="str">
        <f>IF(B123="","",IF(G123="Annulé","Annulé",IF(G123="Terminé","Terminé",IF(M123=0,"À compléter",IF(N(F123)=0,"Sans échéance",IF(M123&gt;F123,"En retard",IF(F123-M123&lt;=p_margin,"Juste","À l'heure")))))))</f>
        <v/>
      </c>
      <c r="P123" s="55" t="n"/>
      <c r="Q123" s="63" t="str">
        <f>IF(OR(B123="",N(D123)&lt;=0),"",MIN(1,N(P123)/D123))</f>
        <v/>
      </c>
      <c r="R123" s="64" t="str">
        <f>IF(OR(J123="",ISNA(MATCH(I123,po_code,0))),"",ROUND(J123*N(INDEX(po_rate,MATCH(I123,po_code,0))),2))</f>
        <v/>
      </c>
      <c r="S123" s="58" t="str">
        <f>IF(AND(A123="",B123=""),"",IF(B123="","Référence manquante",IF(ISNA(MATCH($B123,art_ref,0)),"Référence inconnue",IF(N(D123)&lt;=0,"Quantité invalide",IF(AND(A123&lt;&gt;"",COUNTIF(of_num,A123)&gt;1),"N° OF en double",IF(G123="Annulé","OK",IF(I123="","Poste manquant (gamme)",IF(ISNA(MATCH(I123,po_code,0)),"Poste inconnu",IF(K123="","Capacité du poste nulle",IF(AND(H123&lt;&gt;"",N(H123)=0),"Début imposé invalide",IF(AND(N(H123)&gt;0,WORKDAY.INTL(H123-1,1,p_weekend,p_holidays)&lt;&gt;H123),"Début un jour chômé",IF(AND(N(H123)&gt;0,H123&lt;=SUMPRODUCT(MAX(($I$6:$I122=$I123)*$M$6:$M122))),"Chevauche l'OF précédent",IF(N(F123)=0,"Date de besoin manquante","OK")))))))))))))</f>
        <v/>
      </c>
      <c r="T123" s="65" t="str">
        <f>IF(K123="","",J123/K123)</f>
        <v/>
      </c>
      <c r="U123" s="66" t="str">
        <f>IF(OR(O123="En retard",O123="Juste"),COUNTIF($O$6:O123,"En retard")+COUNTIF($O$6:O123,"Juste"),"")</f>
        <v/>
      </c>
    </row>
    <row r="124">
      <c r="A124" s="53" t="n"/>
      <c r="B124" s="53" t="n"/>
      <c r="C124" s="54" t="str">
        <f>IF(B124="","",IFERROR(INDEX(art_des,MATCH($B124,art_ref,0)),"Référence inconnue"))</f>
        <v/>
      </c>
      <c r="D124" s="55" t="n"/>
      <c r="E124" s="53" t="n"/>
      <c r="F124" s="56" t="n"/>
      <c r="G124" s="57" t="n"/>
      <c r="H124" s="56" t="n"/>
      <c r="I124" s="58" t="str">
        <f>IF(B124="","",IFERROR(INDEX(art_poste,MATCH($B124,art_ref,0))&amp;"",""))</f>
        <v/>
      </c>
      <c r="J124" s="59" t="str">
        <f>IF(OR(B124="",G124="Annulé",N(D124)&lt;=0),"",IFERROR(ROUND(INDEX(art_setup,MATCH($B124,art_ref,0))+D124*INDEX(art_cycle,MATCH($B124,art_ref,0))/60,2),""))</f>
        <v/>
      </c>
      <c r="K124" s="60" t="str">
        <f>IF(J124="","",IFERROR(MAX(1,ROUNDUP(J124/INDEX(po_cap,MATCH(I124,po_code,0)),0)),""))</f>
        <v/>
      </c>
      <c r="L124" s="61">
        <f>IF(K124="",0,IF(N(H124)&gt;0,H124,WORKDAY.INTL(MAX(p_start-1,SUMPRODUCT(MAX(($I$6:$I123=$I124)*$M$6:$M123))),1,p_weekend,p_holidays)))</f>
        <v>0.0</v>
      </c>
      <c r="M124" s="61">
        <f>IF(K124="",0,WORKDAY.INTL(L124,K124-1,p_weekend,p_holidays))</f>
        <v>0.0</v>
      </c>
      <c r="N124" s="62" t="str">
        <f>IF(OR(M124=0,N(F124)=0,G124="Terminé"),"",F124-M124)</f>
        <v/>
      </c>
      <c r="O124" s="58" t="str">
        <f>IF(B124="","",IF(G124="Annulé","Annulé",IF(G124="Terminé","Terminé",IF(M124=0,"À compléter",IF(N(F124)=0,"Sans échéance",IF(M124&gt;F124,"En retard",IF(F124-M124&lt;=p_margin,"Juste","À l'heure")))))))</f>
        <v/>
      </c>
      <c r="P124" s="55" t="n"/>
      <c r="Q124" s="63" t="str">
        <f>IF(OR(B124="",N(D124)&lt;=0),"",MIN(1,N(P124)/D124))</f>
        <v/>
      </c>
      <c r="R124" s="64" t="str">
        <f>IF(OR(J124="",ISNA(MATCH(I124,po_code,0))),"",ROUND(J124*N(INDEX(po_rate,MATCH(I124,po_code,0))),2))</f>
        <v/>
      </c>
      <c r="S124" s="58" t="str">
        <f>IF(AND(A124="",B124=""),"",IF(B124="","Référence manquante",IF(ISNA(MATCH($B124,art_ref,0)),"Référence inconnue",IF(N(D124)&lt;=0,"Quantité invalide",IF(AND(A124&lt;&gt;"",COUNTIF(of_num,A124)&gt;1),"N° OF en double",IF(G124="Annulé","OK",IF(I124="","Poste manquant (gamme)",IF(ISNA(MATCH(I124,po_code,0)),"Poste inconnu",IF(K124="","Capacité du poste nulle",IF(AND(H124&lt;&gt;"",N(H124)=0),"Début imposé invalide",IF(AND(N(H124)&gt;0,WORKDAY.INTL(H124-1,1,p_weekend,p_holidays)&lt;&gt;H124),"Début un jour chômé",IF(AND(N(H124)&gt;0,H124&lt;=SUMPRODUCT(MAX(($I$6:$I123=$I124)*$M$6:$M123))),"Chevauche l'OF précédent",IF(N(F124)=0,"Date de besoin manquante","OK")))))))))))))</f>
        <v/>
      </c>
      <c r="T124" s="65" t="str">
        <f>IF(K124="","",J124/K124)</f>
        <v/>
      </c>
      <c r="U124" s="66" t="str">
        <f>IF(OR(O124="En retard",O124="Juste"),COUNTIF($O$6:O124,"En retard")+COUNTIF($O$6:O124,"Juste"),"")</f>
        <v/>
      </c>
    </row>
    <row r="125">
      <c r="A125" s="53" t="n"/>
      <c r="B125" s="53" t="n"/>
      <c r="C125" s="54" t="str">
        <f>IF(B125="","",IFERROR(INDEX(art_des,MATCH($B125,art_ref,0)),"Référence inconnue"))</f>
        <v/>
      </c>
      <c r="D125" s="55" t="n"/>
      <c r="E125" s="53" t="n"/>
      <c r="F125" s="56" t="n"/>
      <c r="G125" s="57" t="n"/>
      <c r="H125" s="56" t="n"/>
      <c r="I125" s="58" t="str">
        <f>IF(B125="","",IFERROR(INDEX(art_poste,MATCH($B125,art_ref,0))&amp;"",""))</f>
        <v/>
      </c>
      <c r="J125" s="59" t="str">
        <f>IF(OR(B125="",G125="Annulé",N(D125)&lt;=0),"",IFERROR(ROUND(INDEX(art_setup,MATCH($B125,art_ref,0))+D125*INDEX(art_cycle,MATCH($B125,art_ref,0))/60,2),""))</f>
        <v/>
      </c>
      <c r="K125" s="60" t="str">
        <f>IF(J125="","",IFERROR(MAX(1,ROUNDUP(J125/INDEX(po_cap,MATCH(I125,po_code,0)),0)),""))</f>
        <v/>
      </c>
      <c r="L125" s="61">
        <f>IF(K125="",0,IF(N(H125)&gt;0,H125,WORKDAY.INTL(MAX(p_start-1,SUMPRODUCT(MAX(($I$6:$I124=$I125)*$M$6:$M124))),1,p_weekend,p_holidays)))</f>
        <v>0.0</v>
      </c>
      <c r="M125" s="61">
        <f>IF(K125="",0,WORKDAY.INTL(L125,K125-1,p_weekend,p_holidays))</f>
        <v>0.0</v>
      </c>
      <c r="N125" s="62" t="str">
        <f>IF(OR(M125=0,N(F125)=0,G125="Terminé"),"",F125-M125)</f>
        <v/>
      </c>
      <c r="O125" s="58" t="str">
        <f>IF(B125="","",IF(G125="Annulé","Annulé",IF(G125="Terminé","Terminé",IF(M125=0,"À compléter",IF(N(F125)=0,"Sans échéance",IF(M125&gt;F125,"En retard",IF(F125-M125&lt;=p_margin,"Juste","À l'heure")))))))</f>
        <v/>
      </c>
      <c r="P125" s="55" t="n"/>
      <c r="Q125" s="63" t="str">
        <f>IF(OR(B125="",N(D125)&lt;=0),"",MIN(1,N(P125)/D125))</f>
        <v/>
      </c>
      <c r="R125" s="64" t="str">
        <f>IF(OR(J125="",ISNA(MATCH(I125,po_code,0))),"",ROUND(J125*N(INDEX(po_rate,MATCH(I125,po_code,0))),2))</f>
        <v/>
      </c>
      <c r="S125" s="58" t="str">
        <f>IF(AND(A125="",B125=""),"",IF(B125="","Référence manquante",IF(ISNA(MATCH($B125,art_ref,0)),"Référence inconnue",IF(N(D125)&lt;=0,"Quantité invalide",IF(AND(A125&lt;&gt;"",COUNTIF(of_num,A125)&gt;1),"N° OF en double",IF(G125="Annulé","OK",IF(I125="","Poste manquant (gamme)",IF(ISNA(MATCH(I125,po_code,0)),"Poste inconnu",IF(K125="","Capacité du poste nulle",IF(AND(H125&lt;&gt;"",N(H125)=0),"Début imposé invalide",IF(AND(N(H125)&gt;0,WORKDAY.INTL(H125-1,1,p_weekend,p_holidays)&lt;&gt;H125),"Début un jour chômé",IF(AND(N(H125)&gt;0,H125&lt;=SUMPRODUCT(MAX(($I$6:$I124=$I125)*$M$6:$M124))),"Chevauche l'OF précédent",IF(N(F125)=0,"Date de besoin manquante","OK")))))))))))))</f>
        <v/>
      </c>
      <c r="T125" s="65" t="str">
        <f>IF(K125="","",J125/K125)</f>
        <v/>
      </c>
      <c r="U125" s="66" t="str">
        <f>IF(OR(O125="En retard",O125="Juste"),COUNTIF($O$6:O125,"En retard")+COUNTIF($O$6:O125,"Juste"),"")</f>
        <v/>
      </c>
    </row>
    <row r="126">
      <c r="A126" s="53" t="n"/>
      <c r="B126" s="53" t="n"/>
      <c r="C126" s="54" t="str">
        <f>IF(B126="","",IFERROR(INDEX(art_des,MATCH($B126,art_ref,0)),"Référence inconnue"))</f>
        <v/>
      </c>
      <c r="D126" s="55" t="n"/>
      <c r="E126" s="53" t="n"/>
      <c r="F126" s="56" t="n"/>
      <c r="G126" s="57" t="n"/>
      <c r="H126" s="56" t="n"/>
      <c r="I126" s="58" t="str">
        <f>IF(B126="","",IFERROR(INDEX(art_poste,MATCH($B126,art_ref,0))&amp;"",""))</f>
        <v/>
      </c>
      <c r="J126" s="59" t="str">
        <f>IF(OR(B126="",G126="Annulé",N(D126)&lt;=0),"",IFERROR(ROUND(INDEX(art_setup,MATCH($B126,art_ref,0))+D126*INDEX(art_cycle,MATCH($B126,art_ref,0))/60,2),""))</f>
        <v/>
      </c>
      <c r="K126" s="60" t="str">
        <f>IF(J126="","",IFERROR(MAX(1,ROUNDUP(J126/INDEX(po_cap,MATCH(I126,po_code,0)),0)),""))</f>
        <v/>
      </c>
      <c r="L126" s="61">
        <f>IF(K126="",0,IF(N(H126)&gt;0,H126,WORKDAY.INTL(MAX(p_start-1,SUMPRODUCT(MAX(($I$6:$I125=$I126)*$M$6:$M125))),1,p_weekend,p_holidays)))</f>
        <v>0.0</v>
      </c>
      <c r="M126" s="61">
        <f>IF(K126="",0,WORKDAY.INTL(L126,K126-1,p_weekend,p_holidays))</f>
        <v>0.0</v>
      </c>
      <c r="N126" s="62" t="str">
        <f>IF(OR(M126=0,N(F126)=0,G126="Terminé"),"",F126-M126)</f>
        <v/>
      </c>
      <c r="O126" s="58" t="str">
        <f>IF(B126="","",IF(G126="Annulé","Annulé",IF(G126="Terminé","Terminé",IF(M126=0,"À compléter",IF(N(F126)=0,"Sans échéance",IF(M126&gt;F126,"En retard",IF(F126-M126&lt;=p_margin,"Juste","À l'heure")))))))</f>
        <v/>
      </c>
      <c r="P126" s="55" t="n"/>
      <c r="Q126" s="63" t="str">
        <f>IF(OR(B126="",N(D126)&lt;=0),"",MIN(1,N(P126)/D126))</f>
        <v/>
      </c>
      <c r="R126" s="64" t="str">
        <f>IF(OR(J126="",ISNA(MATCH(I126,po_code,0))),"",ROUND(J126*N(INDEX(po_rate,MATCH(I126,po_code,0))),2))</f>
        <v/>
      </c>
      <c r="S126" s="58" t="str">
        <f>IF(AND(A126="",B126=""),"",IF(B126="","Référence manquante",IF(ISNA(MATCH($B126,art_ref,0)),"Référence inconnue",IF(N(D126)&lt;=0,"Quantité invalide",IF(AND(A126&lt;&gt;"",COUNTIF(of_num,A126)&gt;1),"N° OF en double",IF(G126="Annulé","OK",IF(I126="","Poste manquant (gamme)",IF(ISNA(MATCH(I126,po_code,0)),"Poste inconnu",IF(K126="","Capacité du poste nulle",IF(AND(H126&lt;&gt;"",N(H126)=0),"Début imposé invalide",IF(AND(N(H126)&gt;0,WORKDAY.INTL(H126-1,1,p_weekend,p_holidays)&lt;&gt;H126),"Début un jour chômé",IF(AND(N(H126)&gt;0,H126&lt;=SUMPRODUCT(MAX(($I$6:$I125=$I126)*$M$6:$M125))),"Chevauche l'OF précédent",IF(N(F126)=0,"Date de besoin manquante","OK")))))))))))))</f>
        <v/>
      </c>
      <c r="T126" s="65" t="str">
        <f>IF(K126="","",J126/K126)</f>
        <v/>
      </c>
      <c r="U126" s="66" t="str">
        <f>IF(OR(O126="En retard",O126="Juste"),COUNTIF($O$6:O126,"En retard")+COUNTIF($O$6:O126,"Juste"),"")</f>
        <v/>
      </c>
    </row>
    <row r="127">
      <c r="A127" s="53" t="n"/>
      <c r="B127" s="53" t="n"/>
      <c r="C127" s="54" t="str">
        <f>IF(B127="","",IFERROR(INDEX(art_des,MATCH($B127,art_ref,0)),"Référence inconnue"))</f>
        <v/>
      </c>
      <c r="D127" s="55" t="n"/>
      <c r="E127" s="53" t="n"/>
      <c r="F127" s="56" t="n"/>
      <c r="G127" s="57" t="n"/>
      <c r="H127" s="56" t="n"/>
      <c r="I127" s="58" t="str">
        <f>IF(B127="","",IFERROR(INDEX(art_poste,MATCH($B127,art_ref,0))&amp;"",""))</f>
        <v/>
      </c>
      <c r="J127" s="59" t="str">
        <f>IF(OR(B127="",G127="Annulé",N(D127)&lt;=0),"",IFERROR(ROUND(INDEX(art_setup,MATCH($B127,art_ref,0))+D127*INDEX(art_cycle,MATCH($B127,art_ref,0))/60,2),""))</f>
        <v/>
      </c>
      <c r="K127" s="60" t="str">
        <f>IF(J127="","",IFERROR(MAX(1,ROUNDUP(J127/INDEX(po_cap,MATCH(I127,po_code,0)),0)),""))</f>
        <v/>
      </c>
      <c r="L127" s="61">
        <f>IF(K127="",0,IF(N(H127)&gt;0,H127,WORKDAY.INTL(MAX(p_start-1,SUMPRODUCT(MAX(($I$6:$I126=$I127)*$M$6:$M126))),1,p_weekend,p_holidays)))</f>
        <v>0.0</v>
      </c>
      <c r="M127" s="61">
        <f>IF(K127="",0,WORKDAY.INTL(L127,K127-1,p_weekend,p_holidays))</f>
        <v>0.0</v>
      </c>
      <c r="N127" s="62" t="str">
        <f>IF(OR(M127=0,N(F127)=0,G127="Terminé"),"",F127-M127)</f>
        <v/>
      </c>
      <c r="O127" s="58" t="str">
        <f>IF(B127="","",IF(G127="Annulé","Annulé",IF(G127="Terminé","Terminé",IF(M127=0,"À compléter",IF(N(F127)=0,"Sans échéance",IF(M127&gt;F127,"En retard",IF(F127-M127&lt;=p_margin,"Juste","À l'heure")))))))</f>
        <v/>
      </c>
      <c r="P127" s="55" t="n"/>
      <c r="Q127" s="63" t="str">
        <f>IF(OR(B127="",N(D127)&lt;=0),"",MIN(1,N(P127)/D127))</f>
        <v/>
      </c>
      <c r="R127" s="64" t="str">
        <f>IF(OR(J127="",ISNA(MATCH(I127,po_code,0))),"",ROUND(J127*N(INDEX(po_rate,MATCH(I127,po_code,0))),2))</f>
        <v/>
      </c>
      <c r="S127" s="58" t="str">
        <f>IF(AND(A127="",B127=""),"",IF(B127="","Référence manquante",IF(ISNA(MATCH($B127,art_ref,0)),"Référence inconnue",IF(N(D127)&lt;=0,"Quantité invalide",IF(AND(A127&lt;&gt;"",COUNTIF(of_num,A127)&gt;1),"N° OF en double",IF(G127="Annulé","OK",IF(I127="","Poste manquant (gamme)",IF(ISNA(MATCH(I127,po_code,0)),"Poste inconnu",IF(K127="","Capacité du poste nulle",IF(AND(H127&lt;&gt;"",N(H127)=0),"Début imposé invalide",IF(AND(N(H127)&gt;0,WORKDAY.INTL(H127-1,1,p_weekend,p_holidays)&lt;&gt;H127),"Début un jour chômé",IF(AND(N(H127)&gt;0,H127&lt;=SUMPRODUCT(MAX(($I$6:$I126=$I127)*$M$6:$M126))),"Chevauche l'OF précédent",IF(N(F127)=0,"Date de besoin manquante","OK")))))))))))))</f>
        <v/>
      </c>
      <c r="T127" s="65" t="str">
        <f>IF(K127="","",J127/K127)</f>
        <v/>
      </c>
      <c r="U127" s="66" t="str">
        <f>IF(OR(O127="En retard",O127="Juste"),COUNTIF($O$6:O127,"En retard")+COUNTIF($O$6:O127,"Juste"),"")</f>
        <v/>
      </c>
    </row>
    <row r="128">
      <c r="A128" s="53" t="n"/>
      <c r="B128" s="53" t="n"/>
      <c r="C128" s="54" t="str">
        <f>IF(B128="","",IFERROR(INDEX(art_des,MATCH($B128,art_ref,0)),"Référence inconnue"))</f>
        <v/>
      </c>
      <c r="D128" s="55" t="n"/>
      <c r="E128" s="53" t="n"/>
      <c r="F128" s="56" t="n"/>
      <c r="G128" s="57" t="n"/>
      <c r="H128" s="56" t="n"/>
      <c r="I128" s="58" t="str">
        <f>IF(B128="","",IFERROR(INDEX(art_poste,MATCH($B128,art_ref,0))&amp;"",""))</f>
        <v/>
      </c>
      <c r="J128" s="59" t="str">
        <f>IF(OR(B128="",G128="Annulé",N(D128)&lt;=0),"",IFERROR(ROUND(INDEX(art_setup,MATCH($B128,art_ref,0))+D128*INDEX(art_cycle,MATCH($B128,art_ref,0))/60,2),""))</f>
        <v/>
      </c>
      <c r="K128" s="60" t="str">
        <f>IF(J128="","",IFERROR(MAX(1,ROUNDUP(J128/INDEX(po_cap,MATCH(I128,po_code,0)),0)),""))</f>
        <v/>
      </c>
      <c r="L128" s="61">
        <f>IF(K128="",0,IF(N(H128)&gt;0,H128,WORKDAY.INTL(MAX(p_start-1,SUMPRODUCT(MAX(($I$6:$I127=$I128)*$M$6:$M127))),1,p_weekend,p_holidays)))</f>
        <v>0.0</v>
      </c>
      <c r="M128" s="61">
        <f>IF(K128="",0,WORKDAY.INTL(L128,K128-1,p_weekend,p_holidays))</f>
        <v>0.0</v>
      </c>
      <c r="N128" s="62" t="str">
        <f>IF(OR(M128=0,N(F128)=0,G128="Terminé"),"",F128-M128)</f>
        <v/>
      </c>
      <c r="O128" s="58" t="str">
        <f>IF(B128="","",IF(G128="Annulé","Annulé",IF(G128="Terminé","Terminé",IF(M128=0,"À compléter",IF(N(F128)=0,"Sans échéance",IF(M128&gt;F128,"En retard",IF(F128-M128&lt;=p_margin,"Juste","À l'heure")))))))</f>
        <v/>
      </c>
      <c r="P128" s="55" t="n"/>
      <c r="Q128" s="63" t="str">
        <f>IF(OR(B128="",N(D128)&lt;=0),"",MIN(1,N(P128)/D128))</f>
        <v/>
      </c>
      <c r="R128" s="64" t="str">
        <f>IF(OR(J128="",ISNA(MATCH(I128,po_code,0))),"",ROUND(J128*N(INDEX(po_rate,MATCH(I128,po_code,0))),2))</f>
        <v/>
      </c>
      <c r="S128" s="58" t="str">
        <f>IF(AND(A128="",B128=""),"",IF(B128="","Référence manquante",IF(ISNA(MATCH($B128,art_ref,0)),"Référence inconnue",IF(N(D128)&lt;=0,"Quantité invalide",IF(AND(A128&lt;&gt;"",COUNTIF(of_num,A128)&gt;1),"N° OF en double",IF(G128="Annulé","OK",IF(I128="","Poste manquant (gamme)",IF(ISNA(MATCH(I128,po_code,0)),"Poste inconnu",IF(K128="","Capacité du poste nulle",IF(AND(H128&lt;&gt;"",N(H128)=0),"Début imposé invalide",IF(AND(N(H128)&gt;0,WORKDAY.INTL(H128-1,1,p_weekend,p_holidays)&lt;&gt;H128),"Début un jour chômé",IF(AND(N(H128)&gt;0,H128&lt;=SUMPRODUCT(MAX(($I$6:$I127=$I128)*$M$6:$M127))),"Chevauche l'OF précédent",IF(N(F128)=0,"Date de besoin manquante","OK")))))))))))))</f>
        <v/>
      </c>
      <c r="T128" s="65" t="str">
        <f>IF(K128="","",J128/K128)</f>
        <v/>
      </c>
      <c r="U128" s="66" t="str">
        <f>IF(OR(O128="En retard",O128="Juste"),COUNTIF($O$6:O128,"En retard")+COUNTIF($O$6:O128,"Juste"),"")</f>
        <v/>
      </c>
    </row>
    <row r="129">
      <c r="A129" s="53" t="n"/>
      <c r="B129" s="53" t="n"/>
      <c r="C129" s="54" t="str">
        <f>IF(B129="","",IFERROR(INDEX(art_des,MATCH($B129,art_ref,0)),"Référence inconnue"))</f>
        <v/>
      </c>
      <c r="D129" s="55" t="n"/>
      <c r="E129" s="53" t="n"/>
      <c r="F129" s="56" t="n"/>
      <c r="G129" s="57" t="n"/>
      <c r="H129" s="56" t="n"/>
      <c r="I129" s="58" t="str">
        <f>IF(B129="","",IFERROR(INDEX(art_poste,MATCH($B129,art_ref,0))&amp;"",""))</f>
        <v/>
      </c>
      <c r="J129" s="59" t="str">
        <f>IF(OR(B129="",G129="Annulé",N(D129)&lt;=0),"",IFERROR(ROUND(INDEX(art_setup,MATCH($B129,art_ref,0))+D129*INDEX(art_cycle,MATCH($B129,art_ref,0))/60,2),""))</f>
        <v/>
      </c>
      <c r="K129" s="60" t="str">
        <f>IF(J129="","",IFERROR(MAX(1,ROUNDUP(J129/INDEX(po_cap,MATCH(I129,po_code,0)),0)),""))</f>
        <v/>
      </c>
      <c r="L129" s="61">
        <f>IF(K129="",0,IF(N(H129)&gt;0,H129,WORKDAY.INTL(MAX(p_start-1,SUMPRODUCT(MAX(($I$6:$I128=$I129)*$M$6:$M128))),1,p_weekend,p_holidays)))</f>
        <v>0.0</v>
      </c>
      <c r="M129" s="61">
        <f>IF(K129="",0,WORKDAY.INTL(L129,K129-1,p_weekend,p_holidays))</f>
        <v>0.0</v>
      </c>
      <c r="N129" s="62" t="str">
        <f>IF(OR(M129=0,N(F129)=0,G129="Terminé"),"",F129-M129)</f>
        <v/>
      </c>
      <c r="O129" s="58" t="str">
        <f>IF(B129="","",IF(G129="Annulé","Annulé",IF(G129="Terminé","Terminé",IF(M129=0,"À compléter",IF(N(F129)=0,"Sans échéance",IF(M129&gt;F129,"En retard",IF(F129-M129&lt;=p_margin,"Juste","À l'heure")))))))</f>
        <v/>
      </c>
      <c r="P129" s="55" t="n"/>
      <c r="Q129" s="63" t="str">
        <f>IF(OR(B129="",N(D129)&lt;=0),"",MIN(1,N(P129)/D129))</f>
        <v/>
      </c>
      <c r="R129" s="64" t="str">
        <f>IF(OR(J129="",ISNA(MATCH(I129,po_code,0))),"",ROUND(J129*N(INDEX(po_rate,MATCH(I129,po_code,0))),2))</f>
        <v/>
      </c>
      <c r="S129" s="58" t="str">
        <f>IF(AND(A129="",B129=""),"",IF(B129="","Référence manquante",IF(ISNA(MATCH($B129,art_ref,0)),"Référence inconnue",IF(N(D129)&lt;=0,"Quantité invalide",IF(AND(A129&lt;&gt;"",COUNTIF(of_num,A129)&gt;1),"N° OF en double",IF(G129="Annulé","OK",IF(I129="","Poste manquant (gamme)",IF(ISNA(MATCH(I129,po_code,0)),"Poste inconnu",IF(K129="","Capacité du poste nulle",IF(AND(H129&lt;&gt;"",N(H129)=0),"Début imposé invalide",IF(AND(N(H129)&gt;0,WORKDAY.INTL(H129-1,1,p_weekend,p_holidays)&lt;&gt;H129),"Début un jour chômé",IF(AND(N(H129)&gt;0,H129&lt;=SUMPRODUCT(MAX(($I$6:$I128=$I129)*$M$6:$M128))),"Chevauche l'OF précédent",IF(N(F129)=0,"Date de besoin manquante","OK")))))))))))))</f>
        <v/>
      </c>
      <c r="T129" s="65" t="str">
        <f>IF(K129="","",J129/K129)</f>
        <v/>
      </c>
      <c r="U129" s="66" t="str">
        <f>IF(OR(O129="En retard",O129="Juste"),COUNTIF($O$6:O129,"En retard")+COUNTIF($O$6:O129,"Juste"),"")</f>
        <v/>
      </c>
    </row>
    <row r="130">
      <c r="A130" s="53" t="n"/>
      <c r="B130" s="53" t="n"/>
      <c r="C130" s="54" t="str">
        <f>IF(B130="","",IFERROR(INDEX(art_des,MATCH($B130,art_ref,0)),"Référence inconnue"))</f>
        <v/>
      </c>
      <c r="D130" s="55" t="n"/>
      <c r="E130" s="53" t="n"/>
      <c r="F130" s="56" t="n"/>
      <c r="G130" s="57" t="n"/>
      <c r="H130" s="56" t="n"/>
      <c r="I130" s="58" t="str">
        <f>IF(B130="","",IFERROR(INDEX(art_poste,MATCH($B130,art_ref,0))&amp;"",""))</f>
        <v/>
      </c>
      <c r="J130" s="59" t="str">
        <f>IF(OR(B130="",G130="Annulé",N(D130)&lt;=0),"",IFERROR(ROUND(INDEX(art_setup,MATCH($B130,art_ref,0))+D130*INDEX(art_cycle,MATCH($B130,art_ref,0))/60,2),""))</f>
        <v/>
      </c>
      <c r="K130" s="60" t="str">
        <f>IF(J130="","",IFERROR(MAX(1,ROUNDUP(J130/INDEX(po_cap,MATCH(I130,po_code,0)),0)),""))</f>
        <v/>
      </c>
      <c r="L130" s="61">
        <f>IF(K130="",0,IF(N(H130)&gt;0,H130,WORKDAY.INTL(MAX(p_start-1,SUMPRODUCT(MAX(($I$6:$I129=$I130)*$M$6:$M129))),1,p_weekend,p_holidays)))</f>
        <v>0.0</v>
      </c>
      <c r="M130" s="61">
        <f>IF(K130="",0,WORKDAY.INTL(L130,K130-1,p_weekend,p_holidays))</f>
        <v>0.0</v>
      </c>
      <c r="N130" s="62" t="str">
        <f>IF(OR(M130=0,N(F130)=0,G130="Terminé"),"",F130-M130)</f>
        <v/>
      </c>
      <c r="O130" s="58" t="str">
        <f>IF(B130="","",IF(G130="Annulé","Annulé",IF(G130="Terminé","Terminé",IF(M130=0,"À compléter",IF(N(F130)=0,"Sans échéance",IF(M130&gt;F130,"En retard",IF(F130-M130&lt;=p_margin,"Juste","À l'heure")))))))</f>
        <v/>
      </c>
      <c r="P130" s="55" t="n"/>
      <c r="Q130" s="63" t="str">
        <f>IF(OR(B130="",N(D130)&lt;=0),"",MIN(1,N(P130)/D130))</f>
        <v/>
      </c>
      <c r="R130" s="64" t="str">
        <f>IF(OR(J130="",ISNA(MATCH(I130,po_code,0))),"",ROUND(J130*N(INDEX(po_rate,MATCH(I130,po_code,0))),2))</f>
        <v/>
      </c>
      <c r="S130" s="58" t="str">
        <f>IF(AND(A130="",B130=""),"",IF(B130="","Référence manquante",IF(ISNA(MATCH($B130,art_ref,0)),"Référence inconnue",IF(N(D130)&lt;=0,"Quantité invalide",IF(AND(A130&lt;&gt;"",COUNTIF(of_num,A130)&gt;1),"N° OF en double",IF(G130="Annulé","OK",IF(I130="","Poste manquant (gamme)",IF(ISNA(MATCH(I130,po_code,0)),"Poste inconnu",IF(K130="","Capacité du poste nulle",IF(AND(H130&lt;&gt;"",N(H130)=0),"Début imposé invalide",IF(AND(N(H130)&gt;0,WORKDAY.INTL(H130-1,1,p_weekend,p_holidays)&lt;&gt;H130),"Début un jour chômé",IF(AND(N(H130)&gt;0,H130&lt;=SUMPRODUCT(MAX(($I$6:$I129=$I130)*$M$6:$M129))),"Chevauche l'OF précédent",IF(N(F130)=0,"Date de besoin manquante","OK")))))))))))))</f>
        <v/>
      </c>
      <c r="T130" s="65" t="str">
        <f>IF(K130="","",J130/K130)</f>
        <v/>
      </c>
      <c r="U130" s="66" t="str">
        <f>IF(OR(O130="En retard",O130="Juste"),COUNTIF($O$6:O130,"En retard")+COUNTIF($O$6:O130,"Juste"),"")</f>
        <v/>
      </c>
    </row>
    <row r="131">
      <c r="A131" s="53" t="n"/>
      <c r="B131" s="53" t="n"/>
      <c r="C131" s="54" t="str">
        <f>IF(B131="","",IFERROR(INDEX(art_des,MATCH($B131,art_ref,0)),"Référence inconnue"))</f>
        <v/>
      </c>
      <c r="D131" s="55" t="n"/>
      <c r="E131" s="53" t="n"/>
      <c r="F131" s="56" t="n"/>
      <c r="G131" s="57" t="n"/>
      <c r="H131" s="56" t="n"/>
      <c r="I131" s="58" t="str">
        <f>IF(B131="","",IFERROR(INDEX(art_poste,MATCH($B131,art_ref,0))&amp;"",""))</f>
        <v/>
      </c>
      <c r="J131" s="59" t="str">
        <f>IF(OR(B131="",G131="Annulé",N(D131)&lt;=0),"",IFERROR(ROUND(INDEX(art_setup,MATCH($B131,art_ref,0))+D131*INDEX(art_cycle,MATCH($B131,art_ref,0))/60,2),""))</f>
        <v/>
      </c>
      <c r="K131" s="60" t="str">
        <f>IF(J131="","",IFERROR(MAX(1,ROUNDUP(J131/INDEX(po_cap,MATCH(I131,po_code,0)),0)),""))</f>
        <v/>
      </c>
      <c r="L131" s="61">
        <f>IF(K131="",0,IF(N(H131)&gt;0,H131,WORKDAY.INTL(MAX(p_start-1,SUMPRODUCT(MAX(($I$6:$I130=$I131)*$M$6:$M130))),1,p_weekend,p_holidays)))</f>
        <v>0.0</v>
      </c>
      <c r="M131" s="61">
        <f>IF(K131="",0,WORKDAY.INTL(L131,K131-1,p_weekend,p_holidays))</f>
        <v>0.0</v>
      </c>
      <c r="N131" s="62" t="str">
        <f>IF(OR(M131=0,N(F131)=0,G131="Terminé"),"",F131-M131)</f>
        <v/>
      </c>
      <c r="O131" s="58" t="str">
        <f>IF(B131="","",IF(G131="Annulé","Annulé",IF(G131="Terminé","Terminé",IF(M131=0,"À compléter",IF(N(F131)=0,"Sans échéance",IF(M131&gt;F131,"En retard",IF(F131-M131&lt;=p_margin,"Juste","À l'heure")))))))</f>
        <v/>
      </c>
      <c r="P131" s="55" t="n"/>
      <c r="Q131" s="63" t="str">
        <f>IF(OR(B131="",N(D131)&lt;=0),"",MIN(1,N(P131)/D131))</f>
        <v/>
      </c>
      <c r="R131" s="64" t="str">
        <f>IF(OR(J131="",ISNA(MATCH(I131,po_code,0))),"",ROUND(J131*N(INDEX(po_rate,MATCH(I131,po_code,0))),2))</f>
        <v/>
      </c>
      <c r="S131" s="58" t="str">
        <f>IF(AND(A131="",B131=""),"",IF(B131="","Référence manquante",IF(ISNA(MATCH($B131,art_ref,0)),"Référence inconnue",IF(N(D131)&lt;=0,"Quantité invalide",IF(AND(A131&lt;&gt;"",COUNTIF(of_num,A131)&gt;1),"N° OF en double",IF(G131="Annulé","OK",IF(I131="","Poste manquant (gamme)",IF(ISNA(MATCH(I131,po_code,0)),"Poste inconnu",IF(K131="","Capacité du poste nulle",IF(AND(H131&lt;&gt;"",N(H131)=0),"Début imposé invalide",IF(AND(N(H131)&gt;0,WORKDAY.INTL(H131-1,1,p_weekend,p_holidays)&lt;&gt;H131),"Début un jour chômé",IF(AND(N(H131)&gt;0,H131&lt;=SUMPRODUCT(MAX(($I$6:$I130=$I131)*$M$6:$M130))),"Chevauche l'OF précédent",IF(N(F131)=0,"Date de besoin manquante","OK")))))))))))))</f>
        <v/>
      </c>
      <c r="T131" s="65" t="str">
        <f>IF(K131="","",J131/K131)</f>
        <v/>
      </c>
      <c r="U131" s="66" t="str">
        <f>IF(OR(O131="En retard",O131="Juste"),COUNTIF($O$6:O131,"En retard")+COUNTIF($O$6:O131,"Juste"),"")</f>
        <v/>
      </c>
    </row>
    <row r="132">
      <c r="A132" s="53" t="n"/>
      <c r="B132" s="53" t="n"/>
      <c r="C132" s="54" t="str">
        <f>IF(B132="","",IFERROR(INDEX(art_des,MATCH($B132,art_ref,0)),"Référence inconnue"))</f>
        <v/>
      </c>
      <c r="D132" s="55" t="n"/>
      <c r="E132" s="53" t="n"/>
      <c r="F132" s="56" t="n"/>
      <c r="G132" s="57" t="n"/>
      <c r="H132" s="56" t="n"/>
      <c r="I132" s="58" t="str">
        <f>IF(B132="","",IFERROR(INDEX(art_poste,MATCH($B132,art_ref,0))&amp;"",""))</f>
        <v/>
      </c>
      <c r="J132" s="59" t="str">
        <f>IF(OR(B132="",G132="Annulé",N(D132)&lt;=0),"",IFERROR(ROUND(INDEX(art_setup,MATCH($B132,art_ref,0))+D132*INDEX(art_cycle,MATCH($B132,art_ref,0))/60,2),""))</f>
        <v/>
      </c>
      <c r="K132" s="60" t="str">
        <f>IF(J132="","",IFERROR(MAX(1,ROUNDUP(J132/INDEX(po_cap,MATCH(I132,po_code,0)),0)),""))</f>
        <v/>
      </c>
      <c r="L132" s="61">
        <f>IF(K132="",0,IF(N(H132)&gt;0,H132,WORKDAY.INTL(MAX(p_start-1,SUMPRODUCT(MAX(($I$6:$I131=$I132)*$M$6:$M131))),1,p_weekend,p_holidays)))</f>
        <v>0.0</v>
      </c>
      <c r="M132" s="61">
        <f>IF(K132="",0,WORKDAY.INTL(L132,K132-1,p_weekend,p_holidays))</f>
        <v>0.0</v>
      </c>
      <c r="N132" s="62" t="str">
        <f>IF(OR(M132=0,N(F132)=0,G132="Terminé"),"",F132-M132)</f>
        <v/>
      </c>
      <c r="O132" s="58" t="str">
        <f>IF(B132="","",IF(G132="Annulé","Annulé",IF(G132="Terminé","Terminé",IF(M132=0,"À compléter",IF(N(F132)=0,"Sans échéance",IF(M132&gt;F132,"En retard",IF(F132-M132&lt;=p_margin,"Juste","À l'heure")))))))</f>
        <v/>
      </c>
      <c r="P132" s="55" t="n"/>
      <c r="Q132" s="63" t="str">
        <f>IF(OR(B132="",N(D132)&lt;=0),"",MIN(1,N(P132)/D132))</f>
        <v/>
      </c>
      <c r="R132" s="64" t="str">
        <f>IF(OR(J132="",ISNA(MATCH(I132,po_code,0))),"",ROUND(J132*N(INDEX(po_rate,MATCH(I132,po_code,0))),2))</f>
        <v/>
      </c>
      <c r="S132" s="58" t="str">
        <f>IF(AND(A132="",B132=""),"",IF(B132="","Référence manquante",IF(ISNA(MATCH($B132,art_ref,0)),"Référence inconnue",IF(N(D132)&lt;=0,"Quantité invalide",IF(AND(A132&lt;&gt;"",COUNTIF(of_num,A132)&gt;1),"N° OF en double",IF(G132="Annulé","OK",IF(I132="","Poste manquant (gamme)",IF(ISNA(MATCH(I132,po_code,0)),"Poste inconnu",IF(K132="","Capacité du poste nulle",IF(AND(H132&lt;&gt;"",N(H132)=0),"Début imposé invalide",IF(AND(N(H132)&gt;0,WORKDAY.INTL(H132-1,1,p_weekend,p_holidays)&lt;&gt;H132),"Début un jour chômé",IF(AND(N(H132)&gt;0,H132&lt;=SUMPRODUCT(MAX(($I$6:$I131=$I132)*$M$6:$M131))),"Chevauche l'OF précédent",IF(N(F132)=0,"Date de besoin manquante","OK")))))))))))))</f>
        <v/>
      </c>
      <c r="T132" s="65" t="str">
        <f>IF(K132="","",J132/K132)</f>
        <v/>
      </c>
      <c r="U132" s="66" t="str">
        <f>IF(OR(O132="En retard",O132="Juste"),COUNTIF($O$6:O132,"En retard")+COUNTIF($O$6:O132,"Juste"),"")</f>
        <v/>
      </c>
    </row>
    <row r="133">
      <c r="A133" s="53" t="n"/>
      <c r="B133" s="53" t="n"/>
      <c r="C133" s="54" t="str">
        <f>IF(B133="","",IFERROR(INDEX(art_des,MATCH($B133,art_ref,0)),"Référence inconnue"))</f>
        <v/>
      </c>
      <c r="D133" s="55" t="n"/>
      <c r="E133" s="53" t="n"/>
      <c r="F133" s="56" t="n"/>
      <c r="G133" s="57" t="n"/>
      <c r="H133" s="56" t="n"/>
      <c r="I133" s="58" t="str">
        <f>IF(B133="","",IFERROR(INDEX(art_poste,MATCH($B133,art_ref,0))&amp;"",""))</f>
        <v/>
      </c>
      <c r="J133" s="59" t="str">
        <f>IF(OR(B133="",G133="Annulé",N(D133)&lt;=0),"",IFERROR(ROUND(INDEX(art_setup,MATCH($B133,art_ref,0))+D133*INDEX(art_cycle,MATCH($B133,art_ref,0))/60,2),""))</f>
        <v/>
      </c>
      <c r="K133" s="60" t="str">
        <f>IF(J133="","",IFERROR(MAX(1,ROUNDUP(J133/INDEX(po_cap,MATCH(I133,po_code,0)),0)),""))</f>
        <v/>
      </c>
      <c r="L133" s="61">
        <f>IF(K133="",0,IF(N(H133)&gt;0,H133,WORKDAY.INTL(MAX(p_start-1,SUMPRODUCT(MAX(($I$6:$I132=$I133)*$M$6:$M132))),1,p_weekend,p_holidays)))</f>
        <v>0.0</v>
      </c>
      <c r="M133" s="61">
        <f>IF(K133="",0,WORKDAY.INTL(L133,K133-1,p_weekend,p_holidays))</f>
        <v>0.0</v>
      </c>
      <c r="N133" s="62" t="str">
        <f>IF(OR(M133=0,N(F133)=0,G133="Terminé"),"",F133-M133)</f>
        <v/>
      </c>
      <c r="O133" s="58" t="str">
        <f>IF(B133="","",IF(G133="Annulé","Annulé",IF(G133="Terminé","Terminé",IF(M133=0,"À compléter",IF(N(F133)=0,"Sans échéance",IF(M133&gt;F133,"En retard",IF(F133-M133&lt;=p_margin,"Juste","À l'heure")))))))</f>
        <v/>
      </c>
      <c r="P133" s="55" t="n"/>
      <c r="Q133" s="63" t="str">
        <f>IF(OR(B133="",N(D133)&lt;=0),"",MIN(1,N(P133)/D133))</f>
        <v/>
      </c>
      <c r="R133" s="64" t="str">
        <f>IF(OR(J133="",ISNA(MATCH(I133,po_code,0))),"",ROUND(J133*N(INDEX(po_rate,MATCH(I133,po_code,0))),2))</f>
        <v/>
      </c>
      <c r="S133" s="58" t="str">
        <f>IF(AND(A133="",B133=""),"",IF(B133="","Référence manquante",IF(ISNA(MATCH($B133,art_ref,0)),"Référence inconnue",IF(N(D133)&lt;=0,"Quantité invalide",IF(AND(A133&lt;&gt;"",COUNTIF(of_num,A133)&gt;1),"N° OF en double",IF(G133="Annulé","OK",IF(I133="","Poste manquant (gamme)",IF(ISNA(MATCH(I133,po_code,0)),"Poste inconnu",IF(K133="","Capacité du poste nulle",IF(AND(H133&lt;&gt;"",N(H133)=0),"Début imposé invalide",IF(AND(N(H133)&gt;0,WORKDAY.INTL(H133-1,1,p_weekend,p_holidays)&lt;&gt;H133),"Début un jour chômé",IF(AND(N(H133)&gt;0,H133&lt;=SUMPRODUCT(MAX(($I$6:$I132=$I133)*$M$6:$M132))),"Chevauche l'OF précédent",IF(N(F133)=0,"Date de besoin manquante","OK")))))))))))))</f>
        <v/>
      </c>
      <c r="T133" s="65" t="str">
        <f>IF(K133="","",J133/K133)</f>
        <v/>
      </c>
      <c r="U133" s="66" t="str">
        <f>IF(OR(O133="En retard",O133="Juste"),COUNTIF($O$6:O133,"En retard")+COUNTIF($O$6:O133,"Juste"),"")</f>
        <v/>
      </c>
    </row>
    <row r="134">
      <c r="A134" s="53" t="n"/>
      <c r="B134" s="53" t="n"/>
      <c r="C134" s="54" t="str">
        <f>IF(B134="","",IFERROR(INDEX(art_des,MATCH($B134,art_ref,0)),"Référence inconnue"))</f>
        <v/>
      </c>
      <c r="D134" s="55" t="n"/>
      <c r="E134" s="53" t="n"/>
      <c r="F134" s="56" t="n"/>
      <c r="G134" s="57" t="n"/>
      <c r="H134" s="56" t="n"/>
      <c r="I134" s="58" t="str">
        <f>IF(B134="","",IFERROR(INDEX(art_poste,MATCH($B134,art_ref,0))&amp;"",""))</f>
        <v/>
      </c>
      <c r="J134" s="59" t="str">
        <f>IF(OR(B134="",G134="Annulé",N(D134)&lt;=0),"",IFERROR(ROUND(INDEX(art_setup,MATCH($B134,art_ref,0))+D134*INDEX(art_cycle,MATCH($B134,art_ref,0))/60,2),""))</f>
        <v/>
      </c>
      <c r="K134" s="60" t="str">
        <f>IF(J134="","",IFERROR(MAX(1,ROUNDUP(J134/INDEX(po_cap,MATCH(I134,po_code,0)),0)),""))</f>
        <v/>
      </c>
      <c r="L134" s="61">
        <f>IF(K134="",0,IF(N(H134)&gt;0,H134,WORKDAY.INTL(MAX(p_start-1,SUMPRODUCT(MAX(($I$6:$I133=$I134)*$M$6:$M133))),1,p_weekend,p_holidays)))</f>
        <v>0.0</v>
      </c>
      <c r="M134" s="61">
        <f>IF(K134="",0,WORKDAY.INTL(L134,K134-1,p_weekend,p_holidays))</f>
        <v>0.0</v>
      </c>
      <c r="N134" s="62" t="str">
        <f>IF(OR(M134=0,N(F134)=0,G134="Terminé"),"",F134-M134)</f>
        <v/>
      </c>
      <c r="O134" s="58" t="str">
        <f>IF(B134="","",IF(G134="Annulé","Annulé",IF(G134="Terminé","Terminé",IF(M134=0,"À compléter",IF(N(F134)=0,"Sans échéance",IF(M134&gt;F134,"En retard",IF(F134-M134&lt;=p_margin,"Juste","À l'heure")))))))</f>
        <v/>
      </c>
      <c r="P134" s="55" t="n"/>
      <c r="Q134" s="63" t="str">
        <f>IF(OR(B134="",N(D134)&lt;=0),"",MIN(1,N(P134)/D134))</f>
        <v/>
      </c>
      <c r="R134" s="64" t="str">
        <f>IF(OR(J134="",ISNA(MATCH(I134,po_code,0))),"",ROUND(J134*N(INDEX(po_rate,MATCH(I134,po_code,0))),2))</f>
        <v/>
      </c>
      <c r="S134" s="58" t="str">
        <f>IF(AND(A134="",B134=""),"",IF(B134="","Référence manquante",IF(ISNA(MATCH($B134,art_ref,0)),"Référence inconnue",IF(N(D134)&lt;=0,"Quantité invalide",IF(AND(A134&lt;&gt;"",COUNTIF(of_num,A134)&gt;1),"N° OF en double",IF(G134="Annulé","OK",IF(I134="","Poste manquant (gamme)",IF(ISNA(MATCH(I134,po_code,0)),"Poste inconnu",IF(K134="","Capacité du poste nulle",IF(AND(H134&lt;&gt;"",N(H134)=0),"Début imposé invalide",IF(AND(N(H134)&gt;0,WORKDAY.INTL(H134-1,1,p_weekend,p_holidays)&lt;&gt;H134),"Début un jour chômé",IF(AND(N(H134)&gt;0,H134&lt;=SUMPRODUCT(MAX(($I$6:$I133=$I134)*$M$6:$M133))),"Chevauche l'OF précédent",IF(N(F134)=0,"Date de besoin manquante","OK")))))))))))))</f>
        <v/>
      </c>
      <c r="T134" s="65" t="str">
        <f>IF(K134="","",J134/K134)</f>
        <v/>
      </c>
      <c r="U134" s="66" t="str">
        <f>IF(OR(O134="En retard",O134="Juste"),COUNTIF($O$6:O134,"En retard")+COUNTIF($O$6:O134,"Juste"),"")</f>
        <v/>
      </c>
    </row>
    <row r="135">
      <c r="A135" s="53" t="n"/>
      <c r="B135" s="53" t="n"/>
      <c r="C135" s="54" t="str">
        <f>IF(B135="","",IFERROR(INDEX(art_des,MATCH($B135,art_ref,0)),"Référence inconnue"))</f>
        <v/>
      </c>
      <c r="D135" s="55" t="n"/>
      <c r="E135" s="53" t="n"/>
      <c r="F135" s="56" t="n"/>
      <c r="G135" s="57" t="n"/>
      <c r="H135" s="56" t="n"/>
      <c r="I135" s="58" t="str">
        <f>IF(B135="","",IFERROR(INDEX(art_poste,MATCH($B135,art_ref,0))&amp;"",""))</f>
        <v/>
      </c>
      <c r="J135" s="59" t="str">
        <f>IF(OR(B135="",G135="Annulé",N(D135)&lt;=0),"",IFERROR(ROUND(INDEX(art_setup,MATCH($B135,art_ref,0))+D135*INDEX(art_cycle,MATCH($B135,art_ref,0))/60,2),""))</f>
        <v/>
      </c>
      <c r="K135" s="60" t="str">
        <f>IF(J135="","",IFERROR(MAX(1,ROUNDUP(J135/INDEX(po_cap,MATCH(I135,po_code,0)),0)),""))</f>
        <v/>
      </c>
      <c r="L135" s="61">
        <f>IF(K135="",0,IF(N(H135)&gt;0,H135,WORKDAY.INTL(MAX(p_start-1,SUMPRODUCT(MAX(($I$6:$I134=$I135)*$M$6:$M134))),1,p_weekend,p_holidays)))</f>
        <v>0.0</v>
      </c>
      <c r="M135" s="61">
        <f>IF(K135="",0,WORKDAY.INTL(L135,K135-1,p_weekend,p_holidays))</f>
        <v>0.0</v>
      </c>
      <c r="N135" s="62" t="str">
        <f>IF(OR(M135=0,N(F135)=0,G135="Terminé"),"",F135-M135)</f>
        <v/>
      </c>
      <c r="O135" s="58" t="str">
        <f>IF(B135="","",IF(G135="Annulé","Annulé",IF(G135="Terminé","Terminé",IF(M135=0,"À compléter",IF(N(F135)=0,"Sans échéance",IF(M135&gt;F135,"En retard",IF(F135-M135&lt;=p_margin,"Juste","À l'heure")))))))</f>
        <v/>
      </c>
      <c r="P135" s="55" t="n"/>
      <c r="Q135" s="63" t="str">
        <f>IF(OR(B135="",N(D135)&lt;=0),"",MIN(1,N(P135)/D135))</f>
        <v/>
      </c>
      <c r="R135" s="64" t="str">
        <f>IF(OR(J135="",ISNA(MATCH(I135,po_code,0))),"",ROUND(J135*N(INDEX(po_rate,MATCH(I135,po_code,0))),2))</f>
        <v/>
      </c>
      <c r="S135" s="58" t="str">
        <f>IF(AND(A135="",B135=""),"",IF(B135="","Référence manquante",IF(ISNA(MATCH($B135,art_ref,0)),"Référence inconnue",IF(N(D135)&lt;=0,"Quantité invalide",IF(AND(A135&lt;&gt;"",COUNTIF(of_num,A135)&gt;1),"N° OF en double",IF(G135="Annulé","OK",IF(I135="","Poste manquant (gamme)",IF(ISNA(MATCH(I135,po_code,0)),"Poste inconnu",IF(K135="","Capacité du poste nulle",IF(AND(H135&lt;&gt;"",N(H135)=0),"Début imposé invalide",IF(AND(N(H135)&gt;0,WORKDAY.INTL(H135-1,1,p_weekend,p_holidays)&lt;&gt;H135),"Début un jour chômé",IF(AND(N(H135)&gt;0,H135&lt;=SUMPRODUCT(MAX(($I$6:$I134=$I135)*$M$6:$M134))),"Chevauche l'OF précédent",IF(N(F135)=0,"Date de besoin manquante","OK")))))))))))))</f>
        <v/>
      </c>
      <c r="T135" s="65" t="str">
        <f>IF(K135="","",J135/K135)</f>
        <v/>
      </c>
      <c r="U135" s="66" t="str">
        <f>IF(OR(O135="En retard",O135="Juste"),COUNTIF($O$6:O135,"En retard")+COUNTIF($O$6:O135,"Juste"),"")</f>
        <v/>
      </c>
    </row>
    <row r="136">
      <c r="A136" s="53" t="n"/>
      <c r="B136" s="53" t="n"/>
      <c r="C136" s="54" t="str">
        <f>IF(B136="","",IFERROR(INDEX(art_des,MATCH($B136,art_ref,0)),"Référence inconnue"))</f>
        <v/>
      </c>
      <c r="D136" s="55" t="n"/>
      <c r="E136" s="53" t="n"/>
      <c r="F136" s="56" t="n"/>
      <c r="G136" s="57" t="n"/>
      <c r="H136" s="56" t="n"/>
      <c r="I136" s="58" t="str">
        <f>IF(B136="","",IFERROR(INDEX(art_poste,MATCH($B136,art_ref,0))&amp;"",""))</f>
        <v/>
      </c>
      <c r="J136" s="59" t="str">
        <f>IF(OR(B136="",G136="Annulé",N(D136)&lt;=0),"",IFERROR(ROUND(INDEX(art_setup,MATCH($B136,art_ref,0))+D136*INDEX(art_cycle,MATCH($B136,art_ref,0))/60,2),""))</f>
        <v/>
      </c>
      <c r="K136" s="60" t="str">
        <f>IF(J136="","",IFERROR(MAX(1,ROUNDUP(J136/INDEX(po_cap,MATCH(I136,po_code,0)),0)),""))</f>
        <v/>
      </c>
      <c r="L136" s="61">
        <f>IF(K136="",0,IF(N(H136)&gt;0,H136,WORKDAY.INTL(MAX(p_start-1,SUMPRODUCT(MAX(($I$6:$I135=$I136)*$M$6:$M135))),1,p_weekend,p_holidays)))</f>
        <v>0.0</v>
      </c>
      <c r="M136" s="61">
        <f>IF(K136="",0,WORKDAY.INTL(L136,K136-1,p_weekend,p_holidays))</f>
        <v>0.0</v>
      </c>
      <c r="N136" s="62" t="str">
        <f>IF(OR(M136=0,N(F136)=0,G136="Terminé"),"",F136-M136)</f>
        <v/>
      </c>
      <c r="O136" s="58" t="str">
        <f>IF(B136="","",IF(G136="Annulé","Annulé",IF(G136="Terminé","Terminé",IF(M136=0,"À compléter",IF(N(F136)=0,"Sans échéance",IF(M136&gt;F136,"En retard",IF(F136-M136&lt;=p_margin,"Juste","À l'heure")))))))</f>
        <v/>
      </c>
      <c r="P136" s="55" t="n"/>
      <c r="Q136" s="63" t="str">
        <f>IF(OR(B136="",N(D136)&lt;=0),"",MIN(1,N(P136)/D136))</f>
        <v/>
      </c>
      <c r="R136" s="64" t="str">
        <f>IF(OR(J136="",ISNA(MATCH(I136,po_code,0))),"",ROUND(J136*N(INDEX(po_rate,MATCH(I136,po_code,0))),2))</f>
        <v/>
      </c>
      <c r="S136" s="58" t="str">
        <f>IF(AND(A136="",B136=""),"",IF(B136="","Référence manquante",IF(ISNA(MATCH($B136,art_ref,0)),"Référence inconnue",IF(N(D136)&lt;=0,"Quantité invalide",IF(AND(A136&lt;&gt;"",COUNTIF(of_num,A136)&gt;1),"N° OF en double",IF(G136="Annulé","OK",IF(I136="","Poste manquant (gamme)",IF(ISNA(MATCH(I136,po_code,0)),"Poste inconnu",IF(K136="","Capacité du poste nulle",IF(AND(H136&lt;&gt;"",N(H136)=0),"Début imposé invalide",IF(AND(N(H136)&gt;0,WORKDAY.INTL(H136-1,1,p_weekend,p_holidays)&lt;&gt;H136),"Début un jour chômé",IF(AND(N(H136)&gt;0,H136&lt;=SUMPRODUCT(MAX(($I$6:$I135=$I136)*$M$6:$M135))),"Chevauche l'OF précédent",IF(N(F136)=0,"Date de besoin manquante","OK")))))))))))))</f>
        <v/>
      </c>
      <c r="T136" s="65" t="str">
        <f>IF(K136="","",J136/K136)</f>
        <v/>
      </c>
      <c r="U136" s="66" t="str">
        <f>IF(OR(O136="En retard",O136="Juste"),COUNTIF($O$6:O136,"En retard")+COUNTIF($O$6:O136,"Juste"),"")</f>
        <v/>
      </c>
    </row>
    <row r="137">
      <c r="A137" s="53" t="n"/>
      <c r="B137" s="53" t="n"/>
      <c r="C137" s="54" t="str">
        <f>IF(B137="","",IFERROR(INDEX(art_des,MATCH($B137,art_ref,0)),"Référence inconnue"))</f>
        <v/>
      </c>
      <c r="D137" s="55" t="n"/>
      <c r="E137" s="53" t="n"/>
      <c r="F137" s="56" t="n"/>
      <c r="G137" s="57" t="n"/>
      <c r="H137" s="56" t="n"/>
      <c r="I137" s="58" t="str">
        <f>IF(B137="","",IFERROR(INDEX(art_poste,MATCH($B137,art_ref,0))&amp;"",""))</f>
        <v/>
      </c>
      <c r="J137" s="59" t="str">
        <f>IF(OR(B137="",G137="Annulé",N(D137)&lt;=0),"",IFERROR(ROUND(INDEX(art_setup,MATCH($B137,art_ref,0))+D137*INDEX(art_cycle,MATCH($B137,art_ref,0))/60,2),""))</f>
        <v/>
      </c>
      <c r="K137" s="60" t="str">
        <f>IF(J137="","",IFERROR(MAX(1,ROUNDUP(J137/INDEX(po_cap,MATCH(I137,po_code,0)),0)),""))</f>
        <v/>
      </c>
      <c r="L137" s="61">
        <f>IF(K137="",0,IF(N(H137)&gt;0,H137,WORKDAY.INTL(MAX(p_start-1,SUMPRODUCT(MAX(($I$6:$I136=$I137)*$M$6:$M136))),1,p_weekend,p_holidays)))</f>
        <v>0.0</v>
      </c>
      <c r="M137" s="61">
        <f>IF(K137="",0,WORKDAY.INTL(L137,K137-1,p_weekend,p_holidays))</f>
        <v>0.0</v>
      </c>
      <c r="N137" s="62" t="str">
        <f>IF(OR(M137=0,N(F137)=0,G137="Terminé"),"",F137-M137)</f>
        <v/>
      </c>
      <c r="O137" s="58" t="str">
        <f>IF(B137="","",IF(G137="Annulé","Annulé",IF(G137="Terminé","Terminé",IF(M137=0,"À compléter",IF(N(F137)=0,"Sans échéance",IF(M137&gt;F137,"En retard",IF(F137-M137&lt;=p_margin,"Juste","À l'heure")))))))</f>
        <v/>
      </c>
      <c r="P137" s="55" t="n"/>
      <c r="Q137" s="63" t="str">
        <f>IF(OR(B137="",N(D137)&lt;=0),"",MIN(1,N(P137)/D137))</f>
        <v/>
      </c>
      <c r="R137" s="64" t="str">
        <f>IF(OR(J137="",ISNA(MATCH(I137,po_code,0))),"",ROUND(J137*N(INDEX(po_rate,MATCH(I137,po_code,0))),2))</f>
        <v/>
      </c>
      <c r="S137" s="58" t="str">
        <f>IF(AND(A137="",B137=""),"",IF(B137="","Référence manquante",IF(ISNA(MATCH($B137,art_ref,0)),"Référence inconnue",IF(N(D137)&lt;=0,"Quantité invalide",IF(AND(A137&lt;&gt;"",COUNTIF(of_num,A137)&gt;1),"N° OF en double",IF(G137="Annulé","OK",IF(I137="","Poste manquant (gamme)",IF(ISNA(MATCH(I137,po_code,0)),"Poste inconnu",IF(K137="","Capacité du poste nulle",IF(AND(H137&lt;&gt;"",N(H137)=0),"Début imposé invalide",IF(AND(N(H137)&gt;0,WORKDAY.INTL(H137-1,1,p_weekend,p_holidays)&lt;&gt;H137),"Début un jour chômé",IF(AND(N(H137)&gt;0,H137&lt;=SUMPRODUCT(MAX(($I$6:$I136=$I137)*$M$6:$M136))),"Chevauche l'OF précédent",IF(N(F137)=0,"Date de besoin manquante","OK")))))))))))))</f>
        <v/>
      </c>
      <c r="T137" s="65" t="str">
        <f>IF(K137="","",J137/K137)</f>
        <v/>
      </c>
      <c r="U137" s="66" t="str">
        <f>IF(OR(O137="En retard",O137="Juste"),COUNTIF($O$6:O137,"En retard")+COUNTIF($O$6:O137,"Juste"),"")</f>
        <v/>
      </c>
    </row>
    <row r="138">
      <c r="A138" s="53" t="n"/>
      <c r="B138" s="53" t="n"/>
      <c r="C138" s="54" t="str">
        <f>IF(B138="","",IFERROR(INDEX(art_des,MATCH($B138,art_ref,0)),"Référence inconnue"))</f>
        <v/>
      </c>
      <c r="D138" s="55" t="n"/>
      <c r="E138" s="53" t="n"/>
      <c r="F138" s="56" t="n"/>
      <c r="G138" s="57" t="n"/>
      <c r="H138" s="56" t="n"/>
      <c r="I138" s="58" t="str">
        <f>IF(B138="","",IFERROR(INDEX(art_poste,MATCH($B138,art_ref,0))&amp;"",""))</f>
        <v/>
      </c>
      <c r="J138" s="59" t="str">
        <f>IF(OR(B138="",G138="Annulé",N(D138)&lt;=0),"",IFERROR(ROUND(INDEX(art_setup,MATCH($B138,art_ref,0))+D138*INDEX(art_cycle,MATCH($B138,art_ref,0))/60,2),""))</f>
        <v/>
      </c>
      <c r="K138" s="60" t="str">
        <f>IF(J138="","",IFERROR(MAX(1,ROUNDUP(J138/INDEX(po_cap,MATCH(I138,po_code,0)),0)),""))</f>
        <v/>
      </c>
      <c r="L138" s="61">
        <f>IF(K138="",0,IF(N(H138)&gt;0,H138,WORKDAY.INTL(MAX(p_start-1,SUMPRODUCT(MAX(($I$6:$I137=$I138)*$M$6:$M137))),1,p_weekend,p_holidays)))</f>
        <v>0.0</v>
      </c>
      <c r="M138" s="61">
        <f>IF(K138="",0,WORKDAY.INTL(L138,K138-1,p_weekend,p_holidays))</f>
        <v>0.0</v>
      </c>
      <c r="N138" s="62" t="str">
        <f>IF(OR(M138=0,N(F138)=0,G138="Terminé"),"",F138-M138)</f>
        <v/>
      </c>
      <c r="O138" s="58" t="str">
        <f>IF(B138="","",IF(G138="Annulé","Annulé",IF(G138="Terminé","Terminé",IF(M138=0,"À compléter",IF(N(F138)=0,"Sans échéance",IF(M138&gt;F138,"En retard",IF(F138-M138&lt;=p_margin,"Juste","À l'heure")))))))</f>
        <v/>
      </c>
      <c r="P138" s="55" t="n"/>
      <c r="Q138" s="63" t="str">
        <f>IF(OR(B138="",N(D138)&lt;=0),"",MIN(1,N(P138)/D138))</f>
        <v/>
      </c>
      <c r="R138" s="64" t="str">
        <f>IF(OR(J138="",ISNA(MATCH(I138,po_code,0))),"",ROUND(J138*N(INDEX(po_rate,MATCH(I138,po_code,0))),2))</f>
        <v/>
      </c>
      <c r="S138" s="58" t="str">
        <f>IF(AND(A138="",B138=""),"",IF(B138="","Référence manquante",IF(ISNA(MATCH($B138,art_ref,0)),"Référence inconnue",IF(N(D138)&lt;=0,"Quantité invalide",IF(AND(A138&lt;&gt;"",COUNTIF(of_num,A138)&gt;1),"N° OF en double",IF(G138="Annulé","OK",IF(I138="","Poste manquant (gamme)",IF(ISNA(MATCH(I138,po_code,0)),"Poste inconnu",IF(K138="","Capacité du poste nulle",IF(AND(H138&lt;&gt;"",N(H138)=0),"Début imposé invalide",IF(AND(N(H138)&gt;0,WORKDAY.INTL(H138-1,1,p_weekend,p_holidays)&lt;&gt;H138),"Début un jour chômé",IF(AND(N(H138)&gt;0,H138&lt;=SUMPRODUCT(MAX(($I$6:$I137=$I138)*$M$6:$M137))),"Chevauche l'OF précédent",IF(N(F138)=0,"Date de besoin manquante","OK")))))))))))))</f>
        <v/>
      </c>
      <c r="T138" s="65" t="str">
        <f>IF(K138="","",J138/K138)</f>
        <v/>
      </c>
      <c r="U138" s="66" t="str">
        <f>IF(OR(O138="En retard",O138="Juste"),COUNTIF($O$6:O138,"En retard")+COUNTIF($O$6:O138,"Juste"),"")</f>
        <v/>
      </c>
    </row>
    <row r="139">
      <c r="A139" s="53" t="n"/>
      <c r="B139" s="53" t="n"/>
      <c r="C139" s="54" t="str">
        <f>IF(B139="","",IFERROR(INDEX(art_des,MATCH($B139,art_ref,0)),"Référence inconnue"))</f>
        <v/>
      </c>
      <c r="D139" s="55" t="n"/>
      <c r="E139" s="53" t="n"/>
      <c r="F139" s="56" t="n"/>
      <c r="G139" s="57" t="n"/>
      <c r="H139" s="56" t="n"/>
      <c r="I139" s="58" t="str">
        <f>IF(B139="","",IFERROR(INDEX(art_poste,MATCH($B139,art_ref,0))&amp;"",""))</f>
        <v/>
      </c>
      <c r="J139" s="59" t="str">
        <f>IF(OR(B139="",G139="Annulé",N(D139)&lt;=0),"",IFERROR(ROUND(INDEX(art_setup,MATCH($B139,art_ref,0))+D139*INDEX(art_cycle,MATCH($B139,art_ref,0))/60,2),""))</f>
        <v/>
      </c>
      <c r="K139" s="60" t="str">
        <f>IF(J139="","",IFERROR(MAX(1,ROUNDUP(J139/INDEX(po_cap,MATCH(I139,po_code,0)),0)),""))</f>
        <v/>
      </c>
      <c r="L139" s="61">
        <f>IF(K139="",0,IF(N(H139)&gt;0,H139,WORKDAY.INTL(MAX(p_start-1,SUMPRODUCT(MAX(($I$6:$I138=$I139)*$M$6:$M138))),1,p_weekend,p_holidays)))</f>
        <v>0.0</v>
      </c>
      <c r="M139" s="61">
        <f>IF(K139="",0,WORKDAY.INTL(L139,K139-1,p_weekend,p_holidays))</f>
        <v>0.0</v>
      </c>
      <c r="N139" s="62" t="str">
        <f>IF(OR(M139=0,N(F139)=0,G139="Terminé"),"",F139-M139)</f>
        <v/>
      </c>
      <c r="O139" s="58" t="str">
        <f>IF(B139="","",IF(G139="Annulé","Annulé",IF(G139="Terminé","Terminé",IF(M139=0,"À compléter",IF(N(F139)=0,"Sans échéance",IF(M139&gt;F139,"En retard",IF(F139-M139&lt;=p_margin,"Juste","À l'heure")))))))</f>
        <v/>
      </c>
      <c r="P139" s="55" t="n"/>
      <c r="Q139" s="63" t="str">
        <f>IF(OR(B139="",N(D139)&lt;=0),"",MIN(1,N(P139)/D139))</f>
        <v/>
      </c>
      <c r="R139" s="64" t="str">
        <f>IF(OR(J139="",ISNA(MATCH(I139,po_code,0))),"",ROUND(J139*N(INDEX(po_rate,MATCH(I139,po_code,0))),2))</f>
        <v/>
      </c>
      <c r="S139" s="58" t="str">
        <f>IF(AND(A139="",B139=""),"",IF(B139="","Référence manquante",IF(ISNA(MATCH($B139,art_ref,0)),"Référence inconnue",IF(N(D139)&lt;=0,"Quantité invalide",IF(AND(A139&lt;&gt;"",COUNTIF(of_num,A139)&gt;1),"N° OF en double",IF(G139="Annulé","OK",IF(I139="","Poste manquant (gamme)",IF(ISNA(MATCH(I139,po_code,0)),"Poste inconnu",IF(K139="","Capacité du poste nulle",IF(AND(H139&lt;&gt;"",N(H139)=0),"Début imposé invalide",IF(AND(N(H139)&gt;0,WORKDAY.INTL(H139-1,1,p_weekend,p_holidays)&lt;&gt;H139),"Début un jour chômé",IF(AND(N(H139)&gt;0,H139&lt;=SUMPRODUCT(MAX(($I$6:$I138=$I139)*$M$6:$M138))),"Chevauche l'OF précédent",IF(N(F139)=0,"Date de besoin manquante","OK")))))))))))))</f>
        <v/>
      </c>
      <c r="T139" s="65" t="str">
        <f>IF(K139="","",J139/K139)</f>
        <v/>
      </c>
      <c r="U139" s="66" t="str">
        <f>IF(OR(O139="En retard",O139="Juste"),COUNTIF($O$6:O139,"En retard")+COUNTIF($O$6:O139,"Juste"),"")</f>
        <v/>
      </c>
    </row>
    <row r="140">
      <c r="A140" s="53" t="n"/>
      <c r="B140" s="53" t="n"/>
      <c r="C140" s="54" t="str">
        <f>IF(B140="","",IFERROR(INDEX(art_des,MATCH($B140,art_ref,0)),"Référence inconnue"))</f>
        <v/>
      </c>
      <c r="D140" s="55" t="n"/>
      <c r="E140" s="53" t="n"/>
      <c r="F140" s="56" t="n"/>
      <c r="G140" s="57" t="n"/>
      <c r="H140" s="56" t="n"/>
      <c r="I140" s="58" t="str">
        <f>IF(B140="","",IFERROR(INDEX(art_poste,MATCH($B140,art_ref,0))&amp;"",""))</f>
        <v/>
      </c>
      <c r="J140" s="59" t="str">
        <f>IF(OR(B140="",G140="Annulé",N(D140)&lt;=0),"",IFERROR(ROUND(INDEX(art_setup,MATCH($B140,art_ref,0))+D140*INDEX(art_cycle,MATCH($B140,art_ref,0))/60,2),""))</f>
        <v/>
      </c>
      <c r="K140" s="60" t="str">
        <f>IF(J140="","",IFERROR(MAX(1,ROUNDUP(J140/INDEX(po_cap,MATCH(I140,po_code,0)),0)),""))</f>
        <v/>
      </c>
      <c r="L140" s="61">
        <f>IF(K140="",0,IF(N(H140)&gt;0,H140,WORKDAY.INTL(MAX(p_start-1,SUMPRODUCT(MAX(($I$6:$I139=$I140)*$M$6:$M139))),1,p_weekend,p_holidays)))</f>
        <v>0.0</v>
      </c>
      <c r="M140" s="61">
        <f>IF(K140="",0,WORKDAY.INTL(L140,K140-1,p_weekend,p_holidays))</f>
        <v>0.0</v>
      </c>
      <c r="N140" s="62" t="str">
        <f>IF(OR(M140=0,N(F140)=0,G140="Terminé"),"",F140-M140)</f>
        <v/>
      </c>
      <c r="O140" s="58" t="str">
        <f>IF(B140="","",IF(G140="Annulé","Annulé",IF(G140="Terminé","Terminé",IF(M140=0,"À compléter",IF(N(F140)=0,"Sans échéance",IF(M140&gt;F140,"En retard",IF(F140-M140&lt;=p_margin,"Juste","À l'heure")))))))</f>
        <v/>
      </c>
      <c r="P140" s="55" t="n"/>
      <c r="Q140" s="63" t="str">
        <f>IF(OR(B140="",N(D140)&lt;=0),"",MIN(1,N(P140)/D140))</f>
        <v/>
      </c>
      <c r="R140" s="64" t="str">
        <f>IF(OR(J140="",ISNA(MATCH(I140,po_code,0))),"",ROUND(J140*N(INDEX(po_rate,MATCH(I140,po_code,0))),2))</f>
        <v/>
      </c>
      <c r="S140" s="58" t="str">
        <f>IF(AND(A140="",B140=""),"",IF(B140="","Référence manquante",IF(ISNA(MATCH($B140,art_ref,0)),"Référence inconnue",IF(N(D140)&lt;=0,"Quantité invalide",IF(AND(A140&lt;&gt;"",COUNTIF(of_num,A140)&gt;1),"N° OF en double",IF(G140="Annulé","OK",IF(I140="","Poste manquant (gamme)",IF(ISNA(MATCH(I140,po_code,0)),"Poste inconnu",IF(K140="","Capacité du poste nulle",IF(AND(H140&lt;&gt;"",N(H140)=0),"Début imposé invalide",IF(AND(N(H140)&gt;0,WORKDAY.INTL(H140-1,1,p_weekend,p_holidays)&lt;&gt;H140),"Début un jour chômé",IF(AND(N(H140)&gt;0,H140&lt;=SUMPRODUCT(MAX(($I$6:$I139=$I140)*$M$6:$M139))),"Chevauche l'OF précédent",IF(N(F140)=0,"Date de besoin manquante","OK")))))))))))))</f>
        <v/>
      </c>
      <c r="T140" s="65" t="str">
        <f>IF(K140="","",J140/K140)</f>
        <v/>
      </c>
      <c r="U140" s="66" t="str">
        <f>IF(OR(O140="En retard",O140="Juste"),COUNTIF($O$6:O140,"En retard")+COUNTIF($O$6:O140,"Juste"),"")</f>
        <v/>
      </c>
    </row>
    <row r="141">
      <c r="A141" s="53" t="n"/>
      <c r="B141" s="53" t="n"/>
      <c r="C141" s="54" t="str">
        <f>IF(B141="","",IFERROR(INDEX(art_des,MATCH($B141,art_ref,0)),"Référence inconnue"))</f>
        <v/>
      </c>
      <c r="D141" s="55" t="n"/>
      <c r="E141" s="53" t="n"/>
      <c r="F141" s="56" t="n"/>
      <c r="G141" s="57" t="n"/>
      <c r="H141" s="56" t="n"/>
      <c r="I141" s="58" t="str">
        <f>IF(B141="","",IFERROR(INDEX(art_poste,MATCH($B141,art_ref,0))&amp;"",""))</f>
        <v/>
      </c>
      <c r="J141" s="59" t="str">
        <f>IF(OR(B141="",G141="Annulé",N(D141)&lt;=0),"",IFERROR(ROUND(INDEX(art_setup,MATCH($B141,art_ref,0))+D141*INDEX(art_cycle,MATCH($B141,art_ref,0))/60,2),""))</f>
        <v/>
      </c>
      <c r="K141" s="60" t="str">
        <f>IF(J141="","",IFERROR(MAX(1,ROUNDUP(J141/INDEX(po_cap,MATCH(I141,po_code,0)),0)),""))</f>
        <v/>
      </c>
      <c r="L141" s="61">
        <f>IF(K141="",0,IF(N(H141)&gt;0,H141,WORKDAY.INTL(MAX(p_start-1,SUMPRODUCT(MAX(($I$6:$I140=$I141)*$M$6:$M140))),1,p_weekend,p_holidays)))</f>
        <v>0.0</v>
      </c>
      <c r="M141" s="61">
        <f>IF(K141="",0,WORKDAY.INTL(L141,K141-1,p_weekend,p_holidays))</f>
        <v>0.0</v>
      </c>
      <c r="N141" s="62" t="str">
        <f>IF(OR(M141=0,N(F141)=0,G141="Terminé"),"",F141-M141)</f>
        <v/>
      </c>
      <c r="O141" s="58" t="str">
        <f>IF(B141="","",IF(G141="Annulé","Annulé",IF(G141="Terminé","Terminé",IF(M141=0,"À compléter",IF(N(F141)=0,"Sans échéance",IF(M141&gt;F141,"En retard",IF(F141-M141&lt;=p_margin,"Juste","À l'heure")))))))</f>
        <v/>
      </c>
      <c r="P141" s="55" t="n"/>
      <c r="Q141" s="63" t="str">
        <f>IF(OR(B141="",N(D141)&lt;=0),"",MIN(1,N(P141)/D141))</f>
        <v/>
      </c>
      <c r="R141" s="64" t="str">
        <f>IF(OR(J141="",ISNA(MATCH(I141,po_code,0))),"",ROUND(J141*N(INDEX(po_rate,MATCH(I141,po_code,0))),2))</f>
        <v/>
      </c>
      <c r="S141" s="58" t="str">
        <f>IF(AND(A141="",B141=""),"",IF(B141="","Référence manquante",IF(ISNA(MATCH($B141,art_ref,0)),"Référence inconnue",IF(N(D141)&lt;=0,"Quantité invalide",IF(AND(A141&lt;&gt;"",COUNTIF(of_num,A141)&gt;1),"N° OF en double",IF(G141="Annulé","OK",IF(I141="","Poste manquant (gamme)",IF(ISNA(MATCH(I141,po_code,0)),"Poste inconnu",IF(K141="","Capacité du poste nulle",IF(AND(H141&lt;&gt;"",N(H141)=0),"Début imposé invalide",IF(AND(N(H141)&gt;0,WORKDAY.INTL(H141-1,1,p_weekend,p_holidays)&lt;&gt;H141),"Début un jour chômé",IF(AND(N(H141)&gt;0,H141&lt;=SUMPRODUCT(MAX(($I$6:$I140=$I141)*$M$6:$M140))),"Chevauche l'OF précédent",IF(N(F141)=0,"Date de besoin manquante","OK")))))))))))))</f>
        <v/>
      </c>
      <c r="T141" s="65" t="str">
        <f>IF(K141="","",J141/K141)</f>
        <v/>
      </c>
      <c r="U141" s="66" t="str">
        <f>IF(OR(O141="En retard",O141="Juste"),COUNTIF($O$6:O141,"En retard")+COUNTIF($O$6:O141,"Juste"),"")</f>
        <v/>
      </c>
    </row>
    <row r="142">
      <c r="A142" s="53" t="n"/>
      <c r="B142" s="53" t="n"/>
      <c r="C142" s="54" t="str">
        <f>IF(B142="","",IFERROR(INDEX(art_des,MATCH($B142,art_ref,0)),"Référence inconnue"))</f>
        <v/>
      </c>
      <c r="D142" s="55" t="n"/>
      <c r="E142" s="53" t="n"/>
      <c r="F142" s="56" t="n"/>
      <c r="G142" s="57" t="n"/>
      <c r="H142" s="56" t="n"/>
      <c r="I142" s="58" t="str">
        <f>IF(B142="","",IFERROR(INDEX(art_poste,MATCH($B142,art_ref,0))&amp;"",""))</f>
        <v/>
      </c>
      <c r="J142" s="59" t="str">
        <f>IF(OR(B142="",G142="Annulé",N(D142)&lt;=0),"",IFERROR(ROUND(INDEX(art_setup,MATCH($B142,art_ref,0))+D142*INDEX(art_cycle,MATCH($B142,art_ref,0))/60,2),""))</f>
        <v/>
      </c>
      <c r="K142" s="60" t="str">
        <f>IF(J142="","",IFERROR(MAX(1,ROUNDUP(J142/INDEX(po_cap,MATCH(I142,po_code,0)),0)),""))</f>
        <v/>
      </c>
      <c r="L142" s="61">
        <f>IF(K142="",0,IF(N(H142)&gt;0,H142,WORKDAY.INTL(MAX(p_start-1,SUMPRODUCT(MAX(($I$6:$I141=$I142)*$M$6:$M141))),1,p_weekend,p_holidays)))</f>
        <v>0.0</v>
      </c>
      <c r="M142" s="61">
        <f>IF(K142="",0,WORKDAY.INTL(L142,K142-1,p_weekend,p_holidays))</f>
        <v>0.0</v>
      </c>
      <c r="N142" s="62" t="str">
        <f>IF(OR(M142=0,N(F142)=0,G142="Terminé"),"",F142-M142)</f>
        <v/>
      </c>
      <c r="O142" s="58" t="str">
        <f>IF(B142="","",IF(G142="Annulé","Annulé",IF(G142="Terminé","Terminé",IF(M142=0,"À compléter",IF(N(F142)=0,"Sans échéance",IF(M142&gt;F142,"En retard",IF(F142-M142&lt;=p_margin,"Juste","À l'heure")))))))</f>
        <v/>
      </c>
      <c r="P142" s="55" t="n"/>
      <c r="Q142" s="63" t="str">
        <f>IF(OR(B142="",N(D142)&lt;=0),"",MIN(1,N(P142)/D142))</f>
        <v/>
      </c>
      <c r="R142" s="64" t="str">
        <f>IF(OR(J142="",ISNA(MATCH(I142,po_code,0))),"",ROUND(J142*N(INDEX(po_rate,MATCH(I142,po_code,0))),2))</f>
        <v/>
      </c>
      <c r="S142" s="58" t="str">
        <f>IF(AND(A142="",B142=""),"",IF(B142="","Référence manquante",IF(ISNA(MATCH($B142,art_ref,0)),"Référence inconnue",IF(N(D142)&lt;=0,"Quantité invalide",IF(AND(A142&lt;&gt;"",COUNTIF(of_num,A142)&gt;1),"N° OF en double",IF(G142="Annulé","OK",IF(I142="","Poste manquant (gamme)",IF(ISNA(MATCH(I142,po_code,0)),"Poste inconnu",IF(K142="","Capacité du poste nulle",IF(AND(H142&lt;&gt;"",N(H142)=0),"Début imposé invalide",IF(AND(N(H142)&gt;0,WORKDAY.INTL(H142-1,1,p_weekend,p_holidays)&lt;&gt;H142),"Début un jour chômé",IF(AND(N(H142)&gt;0,H142&lt;=SUMPRODUCT(MAX(($I$6:$I141=$I142)*$M$6:$M141))),"Chevauche l'OF précédent",IF(N(F142)=0,"Date de besoin manquante","OK")))))))))))))</f>
        <v/>
      </c>
      <c r="T142" s="65" t="str">
        <f>IF(K142="","",J142/K142)</f>
        <v/>
      </c>
      <c r="U142" s="66" t="str">
        <f>IF(OR(O142="En retard",O142="Juste"),COUNTIF($O$6:O142,"En retard")+COUNTIF($O$6:O142,"Juste"),"")</f>
        <v/>
      </c>
    </row>
    <row r="143">
      <c r="A143" s="53" t="n"/>
      <c r="B143" s="53" t="n"/>
      <c r="C143" s="54" t="str">
        <f>IF(B143="","",IFERROR(INDEX(art_des,MATCH($B143,art_ref,0)),"Référence inconnue"))</f>
        <v/>
      </c>
      <c r="D143" s="55" t="n"/>
      <c r="E143" s="53" t="n"/>
      <c r="F143" s="56" t="n"/>
      <c r="G143" s="57" t="n"/>
      <c r="H143" s="56" t="n"/>
      <c r="I143" s="58" t="str">
        <f>IF(B143="","",IFERROR(INDEX(art_poste,MATCH($B143,art_ref,0))&amp;"",""))</f>
        <v/>
      </c>
      <c r="J143" s="59" t="str">
        <f>IF(OR(B143="",G143="Annulé",N(D143)&lt;=0),"",IFERROR(ROUND(INDEX(art_setup,MATCH($B143,art_ref,0))+D143*INDEX(art_cycle,MATCH($B143,art_ref,0))/60,2),""))</f>
        <v/>
      </c>
      <c r="K143" s="60" t="str">
        <f>IF(J143="","",IFERROR(MAX(1,ROUNDUP(J143/INDEX(po_cap,MATCH(I143,po_code,0)),0)),""))</f>
        <v/>
      </c>
      <c r="L143" s="61">
        <f>IF(K143="",0,IF(N(H143)&gt;0,H143,WORKDAY.INTL(MAX(p_start-1,SUMPRODUCT(MAX(($I$6:$I142=$I143)*$M$6:$M142))),1,p_weekend,p_holidays)))</f>
        <v>0.0</v>
      </c>
      <c r="M143" s="61">
        <f>IF(K143="",0,WORKDAY.INTL(L143,K143-1,p_weekend,p_holidays))</f>
        <v>0.0</v>
      </c>
      <c r="N143" s="62" t="str">
        <f>IF(OR(M143=0,N(F143)=0,G143="Terminé"),"",F143-M143)</f>
        <v/>
      </c>
      <c r="O143" s="58" t="str">
        <f>IF(B143="","",IF(G143="Annulé","Annulé",IF(G143="Terminé","Terminé",IF(M143=0,"À compléter",IF(N(F143)=0,"Sans échéance",IF(M143&gt;F143,"En retard",IF(F143-M143&lt;=p_margin,"Juste","À l'heure")))))))</f>
        <v/>
      </c>
      <c r="P143" s="55" t="n"/>
      <c r="Q143" s="63" t="str">
        <f>IF(OR(B143="",N(D143)&lt;=0),"",MIN(1,N(P143)/D143))</f>
        <v/>
      </c>
      <c r="R143" s="64" t="str">
        <f>IF(OR(J143="",ISNA(MATCH(I143,po_code,0))),"",ROUND(J143*N(INDEX(po_rate,MATCH(I143,po_code,0))),2))</f>
        <v/>
      </c>
      <c r="S143" s="58" t="str">
        <f>IF(AND(A143="",B143=""),"",IF(B143="","Référence manquante",IF(ISNA(MATCH($B143,art_ref,0)),"Référence inconnue",IF(N(D143)&lt;=0,"Quantité invalide",IF(AND(A143&lt;&gt;"",COUNTIF(of_num,A143)&gt;1),"N° OF en double",IF(G143="Annulé","OK",IF(I143="","Poste manquant (gamme)",IF(ISNA(MATCH(I143,po_code,0)),"Poste inconnu",IF(K143="","Capacité du poste nulle",IF(AND(H143&lt;&gt;"",N(H143)=0),"Début imposé invalide",IF(AND(N(H143)&gt;0,WORKDAY.INTL(H143-1,1,p_weekend,p_holidays)&lt;&gt;H143),"Début un jour chômé",IF(AND(N(H143)&gt;0,H143&lt;=SUMPRODUCT(MAX(($I$6:$I142=$I143)*$M$6:$M142))),"Chevauche l'OF précédent",IF(N(F143)=0,"Date de besoin manquante","OK")))))))))))))</f>
        <v/>
      </c>
      <c r="T143" s="65" t="str">
        <f>IF(K143="","",J143/K143)</f>
        <v/>
      </c>
      <c r="U143" s="66" t="str">
        <f>IF(OR(O143="En retard",O143="Juste"),COUNTIF($O$6:O143,"En retard")+COUNTIF($O$6:O143,"Juste"),"")</f>
        <v/>
      </c>
    </row>
    <row r="144">
      <c r="A144" s="53" t="n"/>
      <c r="B144" s="53" t="n"/>
      <c r="C144" s="54" t="str">
        <f>IF(B144="","",IFERROR(INDEX(art_des,MATCH($B144,art_ref,0)),"Référence inconnue"))</f>
        <v/>
      </c>
      <c r="D144" s="55" t="n"/>
      <c r="E144" s="53" t="n"/>
      <c r="F144" s="56" t="n"/>
      <c r="G144" s="57" t="n"/>
      <c r="H144" s="56" t="n"/>
      <c r="I144" s="58" t="str">
        <f>IF(B144="","",IFERROR(INDEX(art_poste,MATCH($B144,art_ref,0))&amp;"",""))</f>
        <v/>
      </c>
      <c r="J144" s="59" t="str">
        <f>IF(OR(B144="",G144="Annulé",N(D144)&lt;=0),"",IFERROR(ROUND(INDEX(art_setup,MATCH($B144,art_ref,0))+D144*INDEX(art_cycle,MATCH($B144,art_ref,0))/60,2),""))</f>
        <v/>
      </c>
      <c r="K144" s="60" t="str">
        <f>IF(J144="","",IFERROR(MAX(1,ROUNDUP(J144/INDEX(po_cap,MATCH(I144,po_code,0)),0)),""))</f>
        <v/>
      </c>
      <c r="L144" s="61">
        <f>IF(K144="",0,IF(N(H144)&gt;0,H144,WORKDAY.INTL(MAX(p_start-1,SUMPRODUCT(MAX(($I$6:$I143=$I144)*$M$6:$M143))),1,p_weekend,p_holidays)))</f>
        <v>0.0</v>
      </c>
      <c r="M144" s="61">
        <f>IF(K144="",0,WORKDAY.INTL(L144,K144-1,p_weekend,p_holidays))</f>
        <v>0.0</v>
      </c>
      <c r="N144" s="62" t="str">
        <f>IF(OR(M144=0,N(F144)=0,G144="Terminé"),"",F144-M144)</f>
        <v/>
      </c>
      <c r="O144" s="58" t="str">
        <f>IF(B144="","",IF(G144="Annulé","Annulé",IF(G144="Terminé","Terminé",IF(M144=0,"À compléter",IF(N(F144)=0,"Sans échéance",IF(M144&gt;F144,"En retard",IF(F144-M144&lt;=p_margin,"Juste","À l'heure")))))))</f>
        <v/>
      </c>
      <c r="P144" s="55" t="n"/>
      <c r="Q144" s="63" t="str">
        <f>IF(OR(B144="",N(D144)&lt;=0),"",MIN(1,N(P144)/D144))</f>
        <v/>
      </c>
      <c r="R144" s="64" t="str">
        <f>IF(OR(J144="",ISNA(MATCH(I144,po_code,0))),"",ROUND(J144*N(INDEX(po_rate,MATCH(I144,po_code,0))),2))</f>
        <v/>
      </c>
      <c r="S144" s="58" t="str">
        <f>IF(AND(A144="",B144=""),"",IF(B144="","Référence manquante",IF(ISNA(MATCH($B144,art_ref,0)),"Référence inconnue",IF(N(D144)&lt;=0,"Quantité invalide",IF(AND(A144&lt;&gt;"",COUNTIF(of_num,A144)&gt;1),"N° OF en double",IF(G144="Annulé","OK",IF(I144="","Poste manquant (gamme)",IF(ISNA(MATCH(I144,po_code,0)),"Poste inconnu",IF(K144="","Capacité du poste nulle",IF(AND(H144&lt;&gt;"",N(H144)=0),"Début imposé invalide",IF(AND(N(H144)&gt;0,WORKDAY.INTL(H144-1,1,p_weekend,p_holidays)&lt;&gt;H144),"Début un jour chômé",IF(AND(N(H144)&gt;0,H144&lt;=SUMPRODUCT(MAX(($I$6:$I143=$I144)*$M$6:$M143))),"Chevauche l'OF précédent",IF(N(F144)=0,"Date de besoin manquante","OK")))))))))))))</f>
        <v/>
      </c>
      <c r="T144" s="65" t="str">
        <f>IF(K144="","",J144/K144)</f>
        <v/>
      </c>
      <c r="U144" s="66" t="str">
        <f>IF(OR(O144="En retard",O144="Juste"),COUNTIF($O$6:O144,"En retard")+COUNTIF($O$6:O144,"Juste"),"")</f>
        <v/>
      </c>
    </row>
    <row r="145">
      <c r="A145" s="53" t="n"/>
      <c r="B145" s="53" t="n"/>
      <c r="C145" s="54" t="str">
        <f>IF(B145="","",IFERROR(INDEX(art_des,MATCH($B145,art_ref,0)),"Référence inconnue"))</f>
        <v/>
      </c>
      <c r="D145" s="55" t="n"/>
      <c r="E145" s="53" t="n"/>
      <c r="F145" s="56" t="n"/>
      <c r="G145" s="57" t="n"/>
      <c r="H145" s="56" t="n"/>
      <c r="I145" s="58" t="str">
        <f>IF(B145="","",IFERROR(INDEX(art_poste,MATCH($B145,art_ref,0))&amp;"",""))</f>
        <v/>
      </c>
      <c r="J145" s="59" t="str">
        <f>IF(OR(B145="",G145="Annulé",N(D145)&lt;=0),"",IFERROR(ROUND(INDEX(art_setup,MATCH($B145,art_ref,0))+D145*INDEX(art_cycle,MATCH($B145,art_ref,0))/60,2),""))</f>
        <v/>
      </c>
      <c r="K145" s="60" t="str">
        <f>IF(J145="","",IFERROR(MAX(1,ROUNDUP(J145/INDEX(po_cap,MATCH(I145,po_code,0)),0)),""))</f>
        <v/>
      </c>
      <c r="L145" s="61">
        <f>IF(K145="",0,IF(N(H145)&gt;0,H145,WORKDAY.INTL(MAX(p_start-1,SUMPRODUCT(MAX(($I$6:$I144=$I145)*$M$6:$M144))),1,p_weekend,p_holidays)))</f>
        <v>0.0</v>
      </c>
      <c r="M145" s="61">
        <f>IF(K145="",0,WORKDAY.INTL(L145,K145-1,p_weekend,p_holidays))</f>
        <v>0.0</v>
      </c>
      <c r="N145" s="62" t="str">
        <f>IF(OR(M145=0,N(F145)=0,G145="Terminé"),"",F145-M145)</f>
        <v/>
      </c>
      <c r="O145" s="58" t="str">
        <f>IF(B145="","",IF(G145="Annulé","Annulé",IF(G145="Terminé","Terminé",IF(M145=0,"À compléter",IF(N(F145)=0,"Sans échéance",IF(M145&gt;F145,"En retard",IF(F145-M145&lt;=p_margin,"Juste","À l'heure")))))))</f>
        <v/>
      </c>
      <c r="P145" s="55" t="n"/>
      <c r="Q145" s="63" t="str">
        <f>IF(OR(B145="",N(D145)&lt;=0),"",MIN(1,N(P145)/D145))</f>
        <v/>
      </c>
      <c r="R145" s="64" t="str">
        <f>IF(OR(J145="",ISNA(MATCH(I145,po_code,0))),"",ROUND(J145*N(INDEX(po_rate,MATCH(I145,po_code,0))),2))</f>
        <v/>
      </c>
      <c r="S145" s="58" t="str">
        <f>IF(AND(A145="",B145=""),"",IF(B145="","Référence manquante",IF(ISNA(MATCH($B145,art_ref,0)),"Référence inconnue",IF(N(D145)&lt;=0,"Quantité invalide",IF(AND(A145&lt;&gt;"",COUNTIF(of_num,A145)&gt;1),"N° OF en double",IF(G145="Annulé","OK",IF(I145="","Poste manquant (gamme)",IF(ISNA(MATCH(I145,po_code,0)),"Poste inconnu",IF(K145="","Capacité du poste nulle",IF(AND(H145&lt;&gt;"",N(H145)=0),"Début imposé invalide",IF(AND(N(H145)&gt;0,WORKDAY.INTL(H145-1,1,p_weekend,p_holidays)&lt;&gt;H145),"Début un jour chômé",IF(AND(N(H145)&gt;0,H145&lt;=SUMPRODUCT(MAX(($I$6:$I144=$I145)*$M$6:$M144))),"Chevauche l'OF précédent",IF(N(F145)=0,"Date de besoin manquante","OK")))))))))))))</f>
        <v/>
      </c>
      <c r="T145" s="65" t="str">
        <f>IF(K145="","",J145/K145)</f>
        <v/>
      </c>
      <c r="U145" s="66" t="str">
        <f>IF(OR(O145="En retard",O145="Juste"),COUNTIF($O$6:O145,"En retard")+COUNTIF($O$6:O145,"Juste"),"")</f>
        <v/>
      </c>
    </row>
    <row r="146">
      <c r="A146" s="53" t="n"/>
      <c r="B146" s="53" t="n"/>
      <c r="C146" s="54" t="str">
        <f>IF(B146="","",IFERROR(INDEX(art_des,MATCH($B146,art_ref,0)),"Référence inconnue"))</f>
        <v/>
      </c>
      <c r="D146" s="55" t="n"/>
      <c r="E146" s="53" t="n"/>
      <c r="F146" s="56" t="n"/>
      <c r="G146" s="57" t="n"/>
      <c r="H146" s="56" t="n"/>
      <c r="I146" s="58" t="str">
        <f>IF(B146="","",IFERROR(INDEX(art_poste,MATCH($B146,art_ref,0))&amp;"",""))</f>
        <v/>
      </c>
      <c r="J146" s="59" t="str">
        <f>IF(OR(B146="",G146="Annulé",N(D146)&lt;=0),"",IFERROR(ROUND(INDEX(art_setup,MATCH($B146,art_ref,0))+D146*INDEX(art_cycle,MATCH($B146,art_ref,0))/60,2),""))</f>
        <v/>
      </c>
      <c r="K146" s="60" t="str">
        <f>IF(J146="","",IFERROR(MAX(1,ROUNDUP(J146/INDEX(po_cap,MATCH(I146,po_code,0)),0)),""))</f>
        <v/>
      </c>
      <c r="L146" s="61">
        <f>IF(K146="",0,IF(N(H146)&gt;0,H146,WORKDAY.INTL(MAX(p_start-1,SUMPRODUCT(MAX(($I$6:$I145=$I146)*$M$6:$M145))),1,p_weekend,p_holidays)))</f>
        <v>0.0</v>
      </c>
      <c r="M146" s="61">
        <f>IF(K146="",0,WORKDAY.INTL(L146,K146-1,p_weekend,p_holidays))</f>
        <v>0.0</v>
      </c>
      <c r="N146" s="62" t="str">
        <f>IF(OR(M146=0,N(F146)=0,G146="Terminé"),"",F146-M146)</f>
        <v/>
      </c>
      <c r="O146" s="58" t="str">
        <f>IF(B146="","",IF(G146="Annulé","Annulé",IF(G146="Terminé","Terminé",IF(M146=0,"À compléter",IF(N(F146)=0,"Sans échéance",IF(M146&gt;F146,"En retard",IF(F146-M146&lt;=p_margin,"Juste","À l'heure")))))))</f>
        <v/>
      </c>
      <c r="P146" s="55" t="n"/>
      <c r="Q146" s="63" t="str">
        <f>IF(OR(B146="",N(D146)&lt;=0),"",MIN(1,N(P146)/D146))</f>
        <v/>
      </c>
      <c r="R146" s="64" t="str">
        <f>IF(OR(J146="",ISNA(MATCH(I146,po_code,0))),"",ROUND(J146*N(INDEX(po_rate,MATCH(I146,po_code,0))),2))</f>
        <v/>
      </c>
      <c r="S146" s="58" t="str">
        <f>IF(AND(A146="",B146=""),"",IF(B146="","Référence manquante",IF(ISNA(MATCH($B146,art_ref,0)),"Référence inconnue",IF(N(D146)&lt;=0,"Quantité invalide",IF(AND(A146&lt;&gt;"",COUNTIF(of_num,A146)&gt;1),"N° OF en double",IF(G146="Annulé","OK",IF(I146="","Poste manquant (gamme)",IF(ISNA(MATCH(I146,po_code,0)),"Poste inconnu",IF(K146="","Capacité du poste nulle",IF(AND(H146&lt;&gt;"",N(H146)=0),"Début imposé invalide",IF(AND(N(H146)&gt;0,WORKDAY.INTL(H146-1,1,p_weekend,p_holidays)&lt;&gt;H146),"Début un jour chômé",IF(AND(N(H146)&gt;0,H146&lt;=SUMPRODUCT(MAX(($I$6:$I145=$I146)*$M$6:$M145))),"Chevauche l'OF précédent",IF(N(F146)=0,"Date de besoin manquante","OK")))))))))))))</f>
        <v/>
      </c>
      <c r="T146" s="65" t="str">
        <f>IF(K146="","",J146/K146)</f>
        <v/>
      </c>
      <c r="U146" s="66" t="str">
        <f>IF(OR(O146="En retard",O146="Juste"),COUNTIF($O$6:O146,"En retard")+COUNTIF($O$6:O146,"Juste"),"")</f>
        <v/>
      </c>
    </row>
    <row r="147">
      <c r="A147" s="53" t="n"/>
      <c r="B147" s="53" t="n"/>
      <c r="C147" s="54" t="str">
        <f>IF(B147="","",IFERROR(INDEX(art_des,MATCH($B147,art_ref,0)),"Référence inconnue"))</f>
        <v/>
      </c>
      <c r="D147" s="55" t="n"/>
      <c r="E147" s="53" t="n"/>
      <c r="F147" s="56" t="n"/>
      <c r="G147" s="57" t="n"/>
      <c r="H147" s="56" t="n"/>
      <c r="I147" s="58" t="str">
        <f>IF(B147="","",IFERROR(INDEX(art_poste,MATCH($B147,art_ref,0))&amp;"",""))</f>
        <v/>
      </c>
      <c r="J147" s="59" t="str">
        <f>IF(OR(B147="",G147="Annulé",N(D147)&lt;=0),"",IFERROR(ROUND(INDEX(art_setup,MATCH($B147,art_ref,0))+D147*INDEX(art_cycle,MATCH($B147,art_ref,0))/60,2),""))</f>
        <v/>
      </c>
      <c r="K147" s="60" t="str">
        <f>IF(J147="","",IFERROR(MAX(1,ROUNDUP(J147/INDEX(po_cap,MATCH(I147,po_code,0)),0)),""))</f>
        <v/>
      </c>
      <c r="L147" s="61">
        <f>IF(K147="",0,IF(N(H147)&gt;0,H147,WORKDAY.INTL(MAX(p_start-1,SUMPRODUCT(MAX(($I$6:$I146=$I147)*$M$6:$M146))),1,p_weekend,p_holidays)))</f>
        <v>0.0</v>
      </c>
      <c r="M147" s="61">
        <f>IF(K147="",0,WORKDAY.INTL(L147,K147-1,p_weekend,p_holidays))</f>
        <v>0.0</v>
      </c>
      <c r="N147" s="62" t="str">
        <f>IF(OR(M147=0,N(F147)=0,G147="Terminé"),"",F147-M147)</f>
        <v/>
      </c>
      <c r="O147" s="58" t="str">
        <f>IF(B147="","",IF(G147="Annulé","Annulé",IF(G147="Terminé","Terminé",IF(M147=0,"À compléter",IF(N(F147)=0,"Sans échéance",IF(M147&gt;F147,"En retard",IF(F147-M147&lt;=p_margin,"Juste","À l'heure")))))))</f>
        <v/>
      </c>
      <c r="P147" s="55" t="n"/>
      <c r="Q147" s="63" t="str">
        <f>IF(OR(B147="",N(D147)&lt;=0),"",MIN(1,N(P147)/D147))</f>
        <v/>
      </c>
      <c r="R147" s="64" t="str">
        <f>IF(OR(J147="",ISNA(MATCH(I147,po_code,0))),"",ROUND(J147*N(INDEX(po_rate,MATCH(I147,po_code,0))),2))</f>
        <v/>
      </c>
      <c r="S147" s="58" t="str">
        <f>IF(AND(A147="",B147=""),"",IF(B147="","Référence manquante",IF(ISNA(MATCH($B147,art_ref,0)),"Référence inconnue",IF(N(D147)&lt;=0,"Quantité invalide",IF(AND(A147&lt;&gt;"",COUNTIF(of_num,A147)&gt;1),"N° OF en double",IF(G147="Annulé","OK",IF(I147="","Poste manquant (gamme)",IF(ISNA(MATCH(I147,po_code,0)),"Poste inconnu",IF(K147="","Capacité du poste nulle",IF(AND(H147&lt;&gt;"",N(H147)=0),"Début imposé invalide",IF(AND(N(H147)&gt;0,WORKDAY.INTL(H147-1,1,p_weekend,p_holidays)&lt;&gt;H147),"Début un jour chômé",IF(AND(N(H147)&gt;0,H147&lt;=SUMPRODUCT(MAX(($I$6:$I146=$I147)*$M$6:$M146))),"Chevauche l'OF précédent",IF(N(F147)=0,"Date de besoin manquante","OK")))))))))))))</f>
        <v/>
      </c>
      <c r="T147" s="65" t="str">
        <f>IF(K147="","",J147/K147)</f>
        <v/>
      </c>
      <c r="U147" s="66" t="str">
        <f>IF(OR(O147="En retard",O147="Juste"),COUNTIF($O$6:O147,"En retard")+COUNTIF($O$6:O147,"Juste"),"")</f>
        <v/>
      </c>
    </row>
    <row r="148">
      <c r="A148" s="53" t="n"/>
      <c r="B148" s="53" t="n"/>
      <c r="C148" s="54" t="str">
        <f>IF(B148="","",IFERROR(INDEX(art_des,MATCH($B148,art_ref,0)),"Référence inconnue"))</f>
        <v/>
      </c>
      <c r="D148" s="55" t="n"/>
      <c r="E148" s="53" t="n"/>
      <c r="F148" s="56" t="n"/>
      <c r="G148" s="57" t="n"/>
      <c r="H148" s="56" t="n"/>
      <c r="I148" s="58" t="str">
        <f>IF(B148="","",IFERROR(INDEX(art_poste,MATCH($B148,art_ref,0))&amp;"",""))</f>
        <v/>
      </c>
      <c r="J148" s="59" t="str">
        <f>IF(OR(B148="",G148="Annulé",N(D148)&lt;=0),"",IFERROR(ROUND(INDEX(art_setup,MATCH($B148,art_ref,0))+D148*INDEX(art_cycle,MATCH($B148,art_ref,0))/60,2),""))</f>
        <v/>
      </c>
      <c r="K148" s="60" t="str">
        <f>IF(J148="","",IFERROR(MAX(1,ROUNDUP(J148/INDEX(po_cap,MATCH(I148,po_code,0)),0)),""))</f>
        <v/>
      </c>
      <c r="L148" s="61">
        <f>IF(K148="",0,IF(N(H148)&gt;0,H148,WORKDAY.INTL(MAX(p_start-1,SUMPRODUCT(MAX(($I$6:$I147=$I148)*$M$6:$M147))),1,p_weekend,p_holidays)))</f>
        <v>0.0</v>
      </c>
      <c r="M148" s="61">
        <f>IF(K148="",0,WORKDAY.INTL(L148,K148-1,p_weekend,p_holidays))</f>
        <v>0.0</v>
      </c>
      <c r="N148" s="62" t="str">
        <f>IF(OR(M148=0,N(F148)=0,G148="Terminé"),"",F148-M148)</f>
        <v/>
      </c>
      <c r="O148" s="58" t="str">
        <f>IF(B148="","",IF(G148="Annulé","Annulé",IF(G148="Terminé","Terminé",IF(M148=0,"À compléter",IF(N(F148)=0,"Sans échéance",IF(M148&gt;F148,"En retard",IF(F148-M148&lt;=p_margin,"Juste","À l'heure")))))))</f>
        <v/>
      </c>
      <c r="P148" s="55" t="n"/>
      <c r="Q148" s="63" t="str">
        <f>IF(OR(B148="",N(D148)&lt;=0),"",MIN(1,N(P148)/D148))</f>
        <v/>
      </c>
      <c r="R148" s="64" t="str">
        <f>IF(OR(J148="",ISNA(MATCH(I148,po_code,0))),"",ROUND(J148*N(INDEX(po_rate,MATCH(I148,po_code,0))),2))</f>
        <v/>
      </c>
      <c r="S148" s="58" t="str">
        <f>IF(AND(A148="",B148=""),"",IF(B148="","Référence manquante",IF(ISNA(MATCH($B148,art_ref,0)),"Référence inconnue",IF(N(D148)&lt;=0,"Quantité invalide",IF(AND(A148&lt;&gt;"",COUNTIF(of_num,A148)&gt;1),"N° OF en double",IF(G148="Annulé","OK",IF(I148="","Poste manquant (gamme)",IF(ISNA(MATCH(I148,po_code,0)),"Poste inconnu",IF(K148="","Capacité du poste nulle",IF(AND(H148&lt;&gt;"",N(H148)=0),"Début imposé invalide",IF(AND(N(H148)&gt;0,WORKDAY.INTL(H148-1,1,p_weekend,p_holidays)&lt;&gt;H148),"Début un jour chômé",IF(AND(N(H148)&gt;0,H148&lt;=SUMPRODUCT(MAX(($I$6:$I147=$I148)*$M$6:$M147))),"Chevauche l'OF précédent",IF(N(F148)=0,"Date de besoin manquante","OK")))))))))))))</f>
        <v/>
      </c>
      <c r="T148" s="65" t="str">
        <f>IF(K148="","",J148/K148)</f>
        <v/>
      </c>
      <c r="U148" s="66" t="str">
        <f>IF(OR(O148="En retard",O148="Juste"),COUNTIF($O$6:O148,"En retard")+COUNTIF($O$6:O148,"Juste"),"")</f>
        <v/>
      </c>
    </row>
    <row r="149">
      <c r="A149" s="53" t="n"/>
      <c r="B149" s="53" t="n"/>
      <c r="C149" s="54" t="str">
        <f>IF(B149="","",IFERROR(INDEX(art_des,MATCH($B149,art_ref,0)),"Référence inconnue"))</f>
        <v/>
      </c>
      <c r="D149" s="55" t="n"/>
      <c r="E149" s="53" t="n"/>
      <c r="F149" s="56" t="n"/>
      <c r="G149" s="57" t="n"/>
      <c r="H149" s="56" t="n"/>
      <c r="I149" s="58" t="str">
        <f>IF(B149="","",IFERROR(INDEX(art_poste,MATCH($B149,art_ref,0))&amp;"",""))</f>
        <v/>
      </c>
      <c r="J149" s="59" t="str">
        <f>IF(OR(B149="",G149="Annulé",N(D149)&lt;=0),"",IFERROR(ROUND(INDEX(art_setup,MATCH($B149,art_ref,0))+D149*INDEX(art_cycle,MATCH($B149,art_ref,0))/60,2),""))</f>
        <v/>
      </c>
      <c r="K149" s="60" t="str">
        <f>IF(J149="","",IFERROR(MAX(1,ROUNDUP(J149/INDEX(po_cap,MATCH(I149,po_code,0)),0)),""))</f>
        <v/>
      </c>
      <c r="L149" s="61">
        <f>IF(K149="",0,IF(N(H149)&gt;0,H149,WORKDAY.INTL(MAX(p_start-1,SUMPRODUCT(MAX(($I$6:$I148=$I149)*$M$6:$M148))),1,p_weekend,p_holidays)))</f>
        <v>0.0</v>
      </c>
      <c r="M149" s="61">
        <f>IF(K149="",0,WORKDAY.INTL(L149,K149-1,p_weekend,p_holidays))</f>
        <v>0.0</v>
      </c>
      <c r="N149" s="62" t="str">
        <f>IF(OR(M149=0,N(F149)=0,G149="Terminé"),"",F149-M149)</f>
        <v/>
      </c>
      <c r="O149" s="58" t="str">
        <f>IF(B149="","",IF(G149="Annulé","Annulé",IF(G149="Terminé","Terminé",IF(M149=0,"À compléter",IF(N(F149)=0,"Sans échéance",IF(M149&gt;F149,"En retard",IF(F149-M149&lt;=p_margin,"Juste","À l'heure")))))))</f>
        <v/>
      </c>
      <c r="P149" s="55" t="n"/>
      <c r="Q149" s="63" t="str">
        <f>IF(OR(B149="",N(D149)&lt;=0),"",MIN(1,N(P149)/D149))</f>
        <v/>
      </c>
      <c r="R149" s="64" t="str">
        <f>IF(OR(J149="",ISNA(MATCH(I149,po_code,0))),"",ROUND(J149*N(INDEX(po_rate,MATCH(I149,po_code,0))),2))</f>
        <v/>
      </c>
      <c r="S149" s="58" t="str">
        <f>IF(AND(A149="",B149=""),"",IF(B149="","Référence manquante",IF(ISNA(MATCH($B149,art_ref,0)),"Référence inconnue",IF(N(D149)&lt;=0,"Quantité invalide",IF(AND(A149&lt;&gt;"",COUNTIF(of_num,A149)&gt;1),"N° OF en double",IF(G149="Annulé","OK",IF(I149="","Poste manquant (gamme)",IF(ISNA(MATCH(I149,po_code,0)),"Poste inconnu",IF(K149="","Capacité du poste nulle",IF(AND(H149&lt;&gt;"",N(H149)=0),"Début imposé invalide",IF(AND(N(H149)&gt;0,WORKDAY.INTL(H149-1,1,p_weekend,p_holidays)&lt;&gt;H149),"Début un jour chômé",IF(AND(N(H149)&gt;0,H149&lt;=SUMPRODUCT(MAX(($I$6:$I148=$I149)*$M$6:$M148))),"Chevauche l'OF précédent",IF(N(F149)=0,"Date de besoin manquante","OK")))))))))))))</f>
        <v/>
      </c>
      <c r="T149" s="65" t="str">
        <f>IF(K149="","",J149/K149)</f>
        <v/>
      </c>
      <c r="U149" s="66" t="str">
        <f>IF(OR(O149="En retard",O149="Juste"),COUNTIF($O$6:O149,"En retard")+COUNTIF($O$6:O149,"Juste"),"")</f>
        <v/>
      </c>
    </row>
    <row r="150">
      <c r="A150" s="53" t="n"/>
      <c r="B150" s="53" t="n"/>
      <c r="C150" s="54" t="str">
        <f>IF(B150="","",IFERROR(INDEX(art_des,MATCH($B150,art_ref,0)),"Référence inconnue"))</f>
        <v/>
      </c>
      <c r="D150" s="55" t="n"/>
      <c r="E150" s="53" t="n"/>
      <c r="F150" s="56" t="n"/>
      <c r="G150" s="57" t="n"/>
      <c r="H150" s="56" t="n"/>
      <c r="I150" s="58" t="str">
        <f>IF(B150="","",IFERROR(INDEX(art_poste,MATCH($B150,art_ref,0))&amp;"",""))</f>
        <v/>
      </c>
      <c r="J150" s="59" t="str">
        <f>IF(OR(B150="",G150="Annulé",N(D150)&lt;=0),"",IFERROR(ROUND(INDEX(art_setup,MATCH($B150,art_ref,0))+D150*INDEX(art_cycle,MATCH($B150,art_ref,0))/60,2),""))</f>
        <v/>
      </c>
      <c r="K150" s="60" t="str">
        <f>IF(J150="","",IFERROR(MAX(1,ROUNDUP(J150/INDEX(po_cap,MATCH(I150,po_code,0)),0)),""))</f>
        <v/>
      </c>
      <c r="L150" s="61">
        <f>IF(K150="",0,IF(N(H150)&gt;0,H150,WORKDAY.INTL(MAX(p_start-1,SUMPRODUCT(MAX(($I$6:$I149=$I150)*$M$6:$M149))),1,p_weekend,p_holidays)))</f>
        <v>0.0</v>
      </c>
      <c r="M150" s="61">
        <f>IF(K150="",0,WORKDAY.INTL(L150,K150-1,p_weekend,p_holidays))</f>
        <v>0.0</v>
      </c>
      <c r="N150" s="62" t="str">
        <f>IF(OR(M150=0,N(F150)=0,G150="Terminé"),"",F150-M150)</f>
        <v/>
      </c>
      <c r="O150" s="58" t="str">
        <f>IF(B150="","",IF(G150="Annulé","Annulé",IF(G150="Terminé","Terminé",IF(M150=0,"À compléter",IF(N(F150)=0,"Sans échéance",IF(M150&gt;F150,"En retard",IF(F150-M150&lt;=p_margin,"Juste","À l'heure")))))))</f>
        <v/>
      </c>
      <c r="P150" s="55" t="n"/>
      <c r="Q150" s="63" t="str">
        <f>IF(OR(B150="",N(D150)&lt;=0),"",MIN(1,N(P150)/D150))</f>
        <v/>
      </c>
      <c r="R150" s="64" t="str">
        <f>IF(OR(J150="",ISNA(MATCH(I150,po_code,0))),"",ROUND(J150*N(INDEX(po_rate,MATCH(I150,po_code,0))),2))</f>
        <v/>
      </c>
      <c r="S150" s="58" t="str">
        <f>IF(AND(A150="",B150=""),"",IF(B150="","Référence manquante",IF(ISNA(MATCH($B150,art_ref,0)),"Référence inconnue",IF(N(D150)&lt;=0,"Quantité invalide",IF(AND(A150&lt;&gt;"",COUNTIF(of_num,A150)&gt;1),"N° OF en double",IF(G150="Annulé","OK",IF(I150="","Poste manquant (gamme)",IF(ISNA(MATCH(I150,po_code,0)),"Poste inconnu",IF(K150="","Capacité du poste nulle",IF(AND(H150&lt;&gt;"",N(H150)=0),"Début imposé invalide",IF(AND(N(H150)&gt;0,WORKDAY.INTL(H150-1,1,p_weekend,p_holidays)&lt;&gt;H150),"Début un jour chômé",IF(AND(N(H150)&gt;0,H150&lt;=SUMPRODUCT(MAX(($I$6:$I149=$I150)*$M$6:$M149))),"Chevauche l'OF précédent",IF(N(F150)=0,"Date de besoin manquante","OK")))))))))))))</f>
        <v/>
      </c>
      <c r="T150" s="65" t="str">
        <f>IF(K150="","",J150/K150)</f>
        <v/>
      </c>
      <c r="U150" s="66" t="str">
        <f>IF(OR(O150="En retard",O150="Juste"),COUNTIF($O$6:O150,"En retard")+COUNTIF($O$6:O150,"Juste"),"")</f>
        <v/>
      </c>
    </row>
    <row r="151">
      <c r="A151" s="53" t="n"/>
      <c r="B151" s="53" t="n"/>
      <c r="C151" s="54" t="str">
        <f>IF(B151="","",IFERROR(INDEX(art_des,MATCH($B151,art_ref,0)),"Référence inconnue"))</f>
        <v/>
      </c>
      <c r="D151" s="55" t="n"/>
      <c r="E151" s="53" t="n"/>
      <c r="F151" s="56" t="n"/>
      <c r="G151" s="57" t="n"/>
      <c r="H151" s="56" t="n"/>
      <c r="I151" s="58" t="str">
        <f>IF(B151="","",IFERROR(INDEX(art_poste,MATCH($B151,art_ref,0))&amp;"",""))</f>
        <v/>
      </c>
      <c r="J151" s="59" t="str">
        <f>IF(OR(B151="",G151="Annulé",N(D151)&lt;=0),"",IFERROR(ROUND(INDEX(art_setup,MATCH($B151,art_ref,0))+D151*INDEX(art_cycle,MATCH($B151,art_ref,0))/60,2),""))</f>
        <v/>
      </c>
      <c r="K151" s="60" t="str">
        <f>IF(J151="","",IFERROR(MAX(1,ROUNDUP(J151/INDEX(po_cap,MATCH(I151,po_code,0)),0)),""))</f>
        <v/>
      </c>
      <c r="L151" s="61">
        <f>IF(K151="",0,IF(N(H151)&gt;0,H151,WORKDAY.INTL(MAX(p_start-1,SUMPRODUCT(MAX(($I$6:$I150=$I151)*$M$6:$M150))),1,p_weekend,p_holidays)))</f>
        <v>0.0</v>
      </c>
      <c r="M151" s="61">
        <f>IF(K151="",0,WORKDAY.INTL(L151,K151-1,p_weekend,p_holidays))</f>
        <v>0.0</v>
      </c>
      <c r="N151" s="62" t="str">
        <f>IF(OR(M151=0,N(F151)=0,G151="Terminé"),"",F151-M151)</f>
        <v/>
      </c>
      <c r="O151" s="58" t="str">
        <f>IF(B151="","",IF(G151="Annulé","Annulé",IF(G151="Terminé","Terminé",IF(M151=0,"À compléter",IF(N(F151)=0,"Sans échéance",IF(M151&gt;F151,"En retard",IF(F151-M151&lt;=p_margin,"Juste","À l'heure")))))))</f>
        <v/>
      </c>
      <c r="P151" s="55" t="n"/>
      <c r="Q151" s="63" t="str">
        <f>IF(OR(B151="",N(D151)&lt;=0),"",MIN(1,N(P151)/D151))</f>
        <v/>
      </c>
      <c r="R151" s="64" t="str">
        <f>IF(OR(J151="",ISNA(MATCH(I151,po_code,0))),"",ROUND(J151*N(INDEX(po_rate,MATCH(I151,po_code,0))),2))</f>
        <v/>
      </c>
      <c r="S151" s="58" t="str">
        <f>IF(AND(A151="",B151=""),"",IF(B151="","Référence manquante",IF(ISNA(MATCH($B151,art_ref,0)),"Référence inconnue",IF(N(D151)&lt;=0,"Quantité invalide",IF(AND(A151&lt;&gt;"",COUNTIF(of_num,A151)&gt;1),"N° OF en double",IF(G151="Annulé","OK",IF(I151="","Poste manquant (gamme)",IF(ISNA(MATCH(I151,po_code,0)),"Poste inconnu",IF(K151="","Capacité du poste nulle",IF(AND(H151&lt;&gt;"",N(H151)=0),"Début imposé invalide",IF(AND(N(H151)&gt;0,WORKDAY.INTL(H151-1,1,p_weekend,p_holidays)&lt;&gt;H151),"Début un jour chômé",IF(AND(N(H151)&gt;0,H151&lt;=SUMPRODUCT(MAX(($I$6:$I150=$I151)*$M$6:$M150))),"Chevauche l'OF précédent",IF(N(F151)=0,"Date de besoin manquante","OK")))))))))))))</f>
        <v/>
      </c>
      <c r="T151" s="65" t="str">
        <f>IF(K151="","",J151/K151)</f>
        <v/>
      </c>
      <c r="U151" s="66" t="str">
        <f>IF(OR(O151="En retard",O151="Juste"),COUNTIF($O$6:O151,"En retard")+COUNTIF($O$6:O151,"Juste"),"")</f>
        <v/>
      </c>
    </row>
    <row r="152">
      <c r="A152" s="53" t="n"/>
      <c r="B152" s="53" t="n"/>
      <c r="C152" s="54" t="str">
        <f>IF(B152="","",IFERROR(INDEX(art_des,MATCH($B152,art_ref,0)),"Référence inconnue"))</f>
        <v/>
      </c>
      <c r="D152" s="55" t="n"/>
      <c r="E152" s="53" t="n"/>
      <c r="F152" s="56" t="n"/>
      <c r="G152" s="57" t="n"/>
      <c r="H152" s="56" t="n"/>
      <c r="I152" s="58" t="str">
        <f>IF(B152="","",IFERROR(INDEX(art_poste,MATCH($B152,art_ref,0))&amp;"",""))</f>
        <v/>
      </c>
      <c r="J152" s="59" t="str">
        <f>IF(OR(B152="",G152="Annulé",N(D152)&lt;=0),"",IFERROR(ROUND(INDEX(art_setup,MATCH($B152,art_ref,0))+D152*INDEX(art_cycle,MATCH($B152,art_ref,0))/60,2),""))</f>
        <v/>
      </c>
      <c r="K152" s="60" t="str">
        <f>IF(J152="","",IFERROR(MAX(1,ROUNDUP(J152/INDEX(po_cap,MATCH(I152,po_code,0)),0)),""))</f>
        <v/>
      </c>
      <c r="L152" s="61">
        <f>IF(K152="",0,IF(N(H152)&gt;0,H152,WORKDAY.INTL(MAX(p_start-1,SUMPRODUCT(MAX(($I$6:$I151=$I152)*$M$6:$M151))),1,p_weekend,p_holidays)))</f>
        <v>0.0</v>
      </c>
      <c r="M152" s="61">
        <f>IF(K152="",0,WORKDAY.INTL(L152,K152-1,p_weekend,p_holidays))</f>
        <v>0.0</v>
      </c>
      <c r="N152" s="62" t="str">
        <f>IF(OR(M152=0,N(F152)=0,G152="Terminé"),"",F152-M152)</f>
        <v/>
      </c>
      <c r="O152" s="58" t="str">
        <f>IF(B152="","",IF(G152="Annulé","Annulé",IF(G152="Terminé","Terminé",IF(M152=0,"À compléter",IF(N(F152)=0,"Sans échéance",IF(M152&gt;F152,"En retard",IF(F152-M152&lt;=p_margin,"Juste","À l'heure")))))))</f>
        <v/>
      </c>
      <c r="P152" s="55" t="n"/>
      <c r="Q152" s="63" t="str">
        <f>IF(OR(B152="",N(D152)&lt;=0),"",MIN(1,N(P152)/D152))</f>
        <v/>
      </c>
      <c r="R152" s="64" t="str">
        <f>IF(OR(J152="",ISNA(MATCH(I152,po_code,0))),"",ROUND(J152*N(INDEX(po_rate,MATCH(I152,po_code,0))),2))</f>
        <v/>
      </c>
      <c r="S152" s="58" t="str">
        <f>IF(AND(A152="",B152=""),"",IF(B152="","Référence manquante",IF(ISNA(MATCH($B152,art_ref,0)),"Référence inconnue",IF(N(D152)&lt;=0,"Quantité invalide",IF(AND(A152&lt;&gt;"",COUNTIF(of_num,A152)&gt;1),"N° OF en double",IF(G152="Annulé","OK",IF(I152="","Poste manquant (gamme)",IF(ISNA(MATCH(I152,po_code,0)),"Poste inconnu",IF(K152="","Capacité du poste nulle",IF(AND(H152&lt;&gt;"",N(H152)=0),"Début imposé invalide",IF(AND(N(H152)&gt;0,WORKDAY.INTL(H152-1,1,p_weekend,p_holidays)&lt;&gt;H152),"Début un jour chômé",IF(AND(N(H152)&gt;0,H152&lt;=SUMPRODUCT(MAX(($I$6:$I151=$I152)*$M$6:$M151))),"Chevauche l'OF précédent",IF(N(F152)=0,"Date de besoin manquante","OK")))))))))))))</f>
        <v/>
      </c>
      <c r="T152" s="65" t="str">
        <f>IF(K152="","",J152/K152)</f>
        <v/>
      </c>
      <c r="U152" s="66" t="str">
        <f>IF(OR(O152="En retard",O152="Juste"),COUNTIF($O$6:O152,"En retard")+COUNTIF($O$6:O152,"Juste"),"")</f>
        <v/>
      </c>
    </row>
    <row r="153">
      <c r="A153" s="53" t="n"/>
      <c r="B153" s="53" t="n"/>
      <c r="C153" s="54" t="str">
        <f>IF(B153="","",IFERROR(INDEX(art_des,MATCH($B153,art_ref,0)),"Référence inconnue"))</f>
        <v/>
      </c>
      <c r="D153" s="55" t="n"/>
      <c r="E153" s="53" t="n"/>
      <c r="F153" s="56" t="n"/>
      <c r="G153" s="57" t="n"/>
      <c r="H153" s="56" t="n"/>
      <c r="I153" s="58" t="str">
        <f>IF(B153="","",IFERROR(INDEX(art_poste,MATCH($B153,art_ref,0))&amp;"",""))</f>
        <v/>
      </c>
      <c r="J153" s="59" t="str">
        <f>IF(OR(B153="",G153="Annulé",N(D153)&lt;=0),"",IFERROR(ROUND(INDEX(art_setup,MATCH($B153,art_ref,0))+D153*INDEX(art_cycle,MATCH($B153,art_ref,0))/60,2),""))</f>
        <v/>
      </c>
      <c r="K153" s="60" t="str">
        <f>IF(J153="","",IFERROR(MAX(1,ROUNDUP(J153/INDEX(po_cap,MATCH(I153,po_code,0)),0)),""))</f>
        <v/>
      </c>
      <c r="L153" s="61">
        <f>IF(K153="",0,IF(N(H153)&gt;0,H153,WORKDAY.INTL(MAX(p_start-1,SUMPRODUCT(MAX(($I$6:$I152=$I153)*$M$6:$M152))),1,p_weekend,p_holidays)))</f>
        <v>0.0</v>
      </c>
      <c r="M153" s="61">
        <f>IF(K153="",0,WORKDAY.INTL(L153,K153-1,p_weekend,p_holidays))</f>
        <v>0.0</v>
      </c>
      <c r="N153" s="62" t="str">
        <f>IF(OR(M153=0,N(F153)=0,G153="Terminé"),"",F153-M153)</f>
        <v/>
      </c>
      <c r="O153" s="58" t="str">
        <f>IF(B153="","",IF(G153="Annulé","Annulé",IF(G153="Terminé","Terminé",IF(M153=0,"À compléter",IF(N(F153)=0,"Sans échéance",IF(M153&gt;F153,"En retard",IF(F153-M153&lt;=p_margin,"Juste","À l'heure")))))))</f>
        <v/>
      </c>
      <c r="P153" s="55" t="n"/>
      <c r="Q153" s="63" t="str">
        <f>IF(OR(B153="",N(D153)&lt;=0),"",MIN(1,N(P153)/D153))</f>
        <v/>
      </c>
      <c r="R153" s="64" t="str">
        <f>IF(OR(J153="",ISNA(MATCH(I153,po_code,0))),"",ROUND(J153*N(INDEX(po_rate,MATCH(I153,po_code,0))),2))</f>
        <v/>
      </c>
      <c r="S153" s="58" t="str">
        <f>IF(AND(A153="",B153=""),"",IF(B153="","Référence manquante",IF(ISNA(MATCH($B153,art_ref,0)),"Référence inconnue",IF(N(D153)&lt;=0,"Quantité invalide",IF(AND(A153&lt;&gt;"",COUNTIF(of_num,A153)&gt;1),"N° OF en double",IF(G153="Annulé","OK",IF(I153="","Poste manquant (gamme)",IF(ISNA(MATCH(I153,po_code,0)),"Poste inconnu",IF(K153="","Capacité du poste nulle",IF(AND(H153&lt;&gt;"",N(H153)=0),"Début imposé invalide",IF(AND(N(H153)&gt;0,WORKDAY.INTL(H153-1,1,p_weekend,p_holidays)&lt;&gt;H153),"Début un jour chômé",IF(AND(N(H153)&gt;0,H153&lt;=SUMPRODUCT(MAX(($I$6:$I152=$I153)*$M$6:$M152))),"Chevauche l'OF précédent",IF(N(F153)=0,"Date de besoin manquante","OK")))))))))))))</f>
        <v/>
      </c>
      <c r="T153" s="65" t="str">
        <f>IF(K153="","",J153/K153)</f>
        <v/>
      </c>
      <c r="U153" s="66" t="str">
        <f>IF(OR(O153="En retard",O153="Juste"),COUNTIF($O$6:O153,"En retard")+COUNTIF($O$6:O153,"Juste"),"")</f>
        <v/>
      </c>
    </row>
    <row r="154">
      <c r="A154" s="53" t="n"/>
      <c r="B154" s="53" t="n"/>
      <c r="C154" s="54" t="str">
        <f>IF(B154="","",IFERROR(INDEX(art_des,MATCH($B154,art_ref,0)),"Référence inconnue"))</f>
        <v/>
      </c>
      <c r="D154" s="55" t="n"/>
      <c r="E154" s="53" t="n"/>
      <c r="F154" s="56" t="n"/>
      <c r="G154" s="57" t="n"/>
      <c r="H154" s="56" t="n"/>
      <c r="I154" s="58" t="str">
        <f>IF(B154="","",IFERROR(INDEX(art_poste,MATCH($B154,art_ref,0))&amp;"",""))</f>
        <v/>
      </c>
      <c r="J154" s="59" t="str">
        <f>IF(OR(B154="",G154="Annulé",N(D154)&lt;=0),"",IFERROR(ROUND(INDEX(art_setup,MATCH($B154,art_ref,0))+D154*INDEX(art_cycle,MATCH($B154,art_ref,0))/60,2),""))</f>
        <v/>
      </c>
      <c r="K154" s="60" t="str">
        <f>IF(J154="","",IFERROR(MAX(1,ROUNDUP(J154/INDEX(po_cap,MATCH(I154,po_code,0)),0)),""))</f>
        <v/>
      </c>
      <c r="L154" s="61">
        <f>IF(K154="",0,IF(N(H154)&gt;0,H154,WORKDAY.INTL(MAX(p_start-1,SUMPRODUCT(MAX(($I$6:$I153=$I154)*$M$6:$M153))),1,p_weekend,p_holidays)))</f>
        <v>0.0</v>
      </c>
      <c r="M154" s="61">
        <f>IF(K154="",0,WORKDAY.INTL(L154,K154-1,p_weekend,p_holidays))</f>
        <v>0.0</v>
      </c>
      <c r="N154" s="62" t="str">
        <f>IF(OR(M154=0,N(F154)=0,G154="Terminé"),"",F154-M154)</f>
        <v/>
      </c>
      <c r="O154" s="58" t="str">
        <f>IF(B154="","",IF(G154="Annulé","Annulé",IF(G154="Terminé","Terminé",IF(M154=0,"À compléter",IF(N(F154)=0,"Sans échéance",IF(M154&gt;F154,"En retard",IF(F154-M154&lt;=p_margin,"Juste","À l'heure")))))))</f>
        <v/>
      </c>
      <c r="P154" s="55" t="n"/>
      <c r="Q154" s="63" t="str">
        <f>IF(OR(B154="",N(D154)&lt;=0),"",MIN(1,N(P154)/D154))</f>
        <v/>
      </c>
      <c r="R154" s="64" t="str">
        <f>IF(OR(J154="",ISNA(MATCH(I154,po_code,0))),"",ROUND(J154*N(INDEX(po_rate,MATCH(I154,po_code,0))),2))</f>
        <v/>
      </c>
      <c r="S154" s="58" t="str">
        <f>IF(AND(A154="",B154=""),"",IF(B154="","Référence manquante",IF(ISNA(MATCH($B154,art_ref,0)),"Référence inconnue",IF(N(D154)&lt;=0,"Quantité invalide",IF(AND(A154&lt;&gt;"",COUNTIF(of_num,A154)&gt;1),"N° OF en double",IF(G154="Annulé","OK",IF(I154="","Poste manquant (gamme)",IF(ISNA(MATCH(I154,po_code,0)),"Poste inconnu",IF(K154="","Capacité du poste nulle",IF(AND(H154&lt;&gt;"",N(H154)=0),"Début imposé invalide",IF(AND(N(H154)&gt;0,WORKDAY.INTL(H154-1,1,p_weekend,p_holidays)&lt;&gt;H154),"Début un jour chômé",IF(AND(N(H154)&gt;0,H154&lt;=SUMPRODUCT(MAX(($I$6:$I153=$I154)*$M$6:$M153))),"Chevauche l'OF précédent",IF(N(F154)=0,"Date de besoin manquante","OK")))))))))))))</f>
        <v/>
      </c>
      <c r="T154" s="65" t="str">
        <f>IF(K154="","",J154/K154)</f>
        <v/>
      </c>
      <c r="U154" s="66" t="str">
        <f>IF(OR(O154="En retard",O154="Juste"),COUNTIF($O$6:O154,"En retard")+COUNTIF($O$6:O154,"Juste"),"")</f>
        <v/>
      </c>
    </row>
    <row r="155">
      <c r="A155" s="53" t="n"/>
      <c r="B155" s="53" t="n"/>
      <c r="C155" s="54" t="str">
        <f>IF(B155="","",IFERROR(INDEX(art_des,MATCH($B155,art_ref,0)),"Référence inconnue"))</f>
        <v/>
      </c>
      <c r="D155" s="55" t="n"/>
      <c r="E155" s="53" t="n"/>
      <c r="F155" s="56" t="n"/>
      <c r="G155" s="57" t="n"/>
      <c r="H155" s="56" t="n"/>
      <c r="I155" s="58" t="str">
        <f>IF(B155="","",IFERROR(INDEX(art_poste,MATCH($B155,art_ref,0))&amp;"",""))</f>
        <v/>
      </c>
      <c r="J155" s="59" t="str">
        <f>IF(OR(B155="",G155="Annulé",N(D155)&lt;=0),"",IFERROR(ROUND(INDEX(art_setup,MATCH($B155,art_ref,0))+D155*INDEX(art_cycle,MATCH($B155,art_ref,0))/60,2),""))</f>
        <v/>
      </c>
      <c r="K155" s="60" t="str">
        <f>IF(J155="","",IFERROR(MAX(1,ROUNDUP(J155/INDEX(po_cap,MATCH(I155,po_code,0)),0)),""))</f>
        <v/>
      </c>
      <c r="L155" s="61">
        <f>IF(K155="",0,IF(N(H155)&gt;0,H155,WORKDAY.INTL(MAX(p_start-1,SUMPRODUCT(MAX(($I$6:$I154=$I155)*$M$6:$M154))),1,p_weekend,p_holidays)))</f>
        <v>0.0</v>
      </c>
      <c r="M155" s="61">
        <f>IF(K155="",0,WORKDAY.INTL(L155,K155-1,p_weekend,p_holidays))</f>
        <v>0.0</v>
      </c>
      <c r="N155" s="62" t="str">
        <f>IF(OR(M155=0,N(F155)=0,G155="Terminé"),"",F155-M155)</f>
        <v/>
      </c>
      <c r="O155" s="58" t="str">
        <f>IF(B155="","",IF(G155="Annulé","Annulé",IF(G155="Terminé","Terminé",IF(M155=0,"À compléter",IF(N(F155)=0,"Sans échéance",IF(M155&gt;F155,"En retard",IF(F155-M155&lt;=p_margin,"Juste","À l'heure")))))))</f>
        <v/>
      </c>
      <c r="P155" s="55" t="n"/>
      <c r="Q155" s="63" t="str">
        <f>IF(OR(B155="",N(D155)&lt;=0),"",MIN(1,N(P155)/D155))</f>
        <v/>
      </c>
      <c r="R155" s="64" t="str">
        <f>IF(OR(J155="",ISNA(MATCH(I155,po_code,0))),"",ROUND(J155*N(INDEX(po_rate,MATCH(I155,po_code,0))),2))</f>
        <v/>
      </c>
      <c r="S155" s="58" t="str">
        <f>IF(AND(A155="",B155=""),"",IF(B155="","Référence manquante",IF(ISNA(MATCH($B155,art_ref,0)),"Référence inconnue",IF(N(D155)&lt;=0,"Quantité invalide",IF(AND(A155&lt;&gt;"",COUNTIF(of_num,A155)&gt;1),"N° OF en double",IF(G155="Annulé","OK",IF(I155="","Poste manquant (gamme)",IF(ISNA(MATCH(I155,po_code,0)),"Poste inconnu",IF(K155="","Capacité du poste nulle",IF(AND(H155&lt;&gt;"",N(H155)=0),"Début imposé invalide",IF(AND(N(H155)&gt;0,WORKDAY.INTL(H155-1,1,p_weekend,p_holidays)&lt;&gt;H155),"Début un jour chômé",IF(AND(N(H155)&gt;0,H155&lt;=SUMPRODUCT(MAX(($I$6:$I154=$I155)*$M$6:$M154))),"Chevauche l'OF précédent",IF(N(F155)=0,"Date de besoin manquante","OK")))))))))))))</f>
        <v/>
      </c>
      <c r="T155" s="65" t="str">
        <f>IF(K155="","",J155/K155)</f>
        <v/>
      </c>
      <c r="U155" s="66" t="str">
        <f>IF(OR(O155="En retard",O155="Juste"),COUNTIF($O$6:O155,"En retard")+COUNTIF($O$6:O155,"Juste"),"")</f>
        <v/>
      </c>
    </row>
    <row r="156">
      <c r="A156" s="53" t="n"/>
      <c r="B156" s="53" t="n"/>
      <c r="C156" s="54" t="str">
        <f>IF(B156="","",IFERROR(INDEX(art_des,MATCH($B156,art_ref,0)),"Référence inconnue"))</f>
        <v/>
      </c>
      <c r="D156" s="55" t="n"/>
      <c r="E156" s="53" t="n"/>
      <c r="F156" s="56" t="n"/>
      <c r="G156" s="57" t="n"/>
      <c r="H156" s="56" t="n"/>
      <c r="I156" s="58" t="str">
        <f>IF(B156="","",IFERROR(INDEX(art_poste,MATCH($B156,art_ref,0))&amp;"",""))</f>
        <v/>
      </c>
      <c r="J156" s="59" t="str">
        <f>IF(OR(B156="",G156="Annulé",N(D156)&lt;=0),"",IFERROR(ROUND(INDEX(art_setup,MATCH($B156,art_ref,0))+D156*INDEX(art_cycle,MATCH($B156,art_ref,0))/60,2),""))</f>
        <v/>
      </c>
      <c r="K156" s="60" t="str">
        <f>IF(J156="","",IFERROR(MAX(1,ROUNDUP(J156/INDEX(po_cap,MATCH(I156,po_code,0)),0)),""))</f>
        <v/>
      </c>
      <c r="L156" s="61">
        <f>IF(K156="",0,IF(N(H156)&gt;0,H156,WORKDAY.INTL(MAX(p_start-1,SUMPRODUCT(MAX(($I$6:$I155=$I156)*$M$6:$M155))),1,p_weekend,p_holidays)))</f>
        <v>0.0</v>
      </c>
      <c r="M156" s="61">
        <f>IF(K156="",0,WORKDAY.INTL(L156,K156-1,p_weekend,p_holidays))</f>
        <v>0.0</v>
      </c>
      <c r="N156" s="62" t="str">
        <f>IF(OR(M156=0,N(F156)=0,G156="Terminé"),"",F156-M156)</f>
        <v/>
      </c>
      <c r="O156" s="58" t="str">
        <f>IF(B156="","",IF(G156="Annulé","Annulé",IF(G156="Terminé","Terminé",IF(M156=0,"À compléter",IF(N(F156)=0,"Sans échéance",IF(M156&gt;F156,"En retard",IF(F156-M156&lt;=p_margin,"Juste","À l'heure")))))))</f>
        <v/>
      </c>
      <c r="P156" s="55" t="n"/>
      <c r="Q156" s="63" t="str">
        <f>IF(OR(B156="",N(D156)&lt;=0),"",MIN(1,N(P156)/D156))</f>
        <v/>
      </c>
      <c r="R156" s="64" t="str">
        <f>IF(OR(J156="",ISNA(MATCH(I156,po_code,0))),"",ROUND(J156*N(INDEX(po_rate,MATCH(I156,po_code,0))),2))</f>
        <v/>
      </c>
      <c r="S156" s="58" t="str">
        <f>IF(AND(A156="",B156=""),"",IF(B156="","Référence manquante",IF(ISNA(MATCH($B156,art_ref,0)),"Référence inconnue",IF(N(D156)&lt;=0,"Quantité invalide",IF(AND(A156&lt;&gt;"",COUNTIF(of_num,A156)&gt;1),"N° OF en double",IF(G156="Annulé","OK",IF(I156="","Poste manquant (gamme)",IF(ISNA(MATCH(I156,po_code,0)),"Poste inconnu",IF(K156="","Capacité du poste nulle",IF(AND(H156&lt;&gt;"",N(H156)=0),"Début imposé invalide",IF(AND(N(H156)&gt;0,WORKDAY.INTL(H156-1,1,p_weekend,p_holidays)&lt;&gt;H156),"Début un jour chômé",IF(AND(N(H156)&gt;0,H156&lt;=SUMPRODUCT(MAX(($I$6:$I155=$I156)*$M$6:$M155))),"Chevauche l'OF précédent",IF(N(F156)=0,"Date de besoin manquante","OK")))))))))))))</f>
        <v/>
      </c>
      <c r="T156" s="65" t="str">
        <f>IF(K156="","",J156/K156)</f>
        <v/>
      </c>
      <c r="U156" s="66" t="str">
        <f>IF(OR(O156="En retard",O156="Juste"),COUNTIF($O$6:O156,"En retard")+COUNTIF($O$6:O156,"Juste"),"")</f>
        <v/>
      </c>
    </row>
    <row r="157">
      <c r="A157" s="53" t="n"/>
      <c r="B157" s="53" t="n"/>
      <c r="C157" s="54" t="str">
        <f>IF(B157="","",IFERROR(INDEX(art_des,MATCH($B157,art_ref,0)),"Référence inconnue"))</f>
        <v/>
      </c>
      <c r="D157" s="55" t="n"/>
      <c r="E157" s="53" t="n"/>
      <c r="F157" s="56" t="n"/>
      <c r="G157" s="57" t="n"/>
      <c r="H157" s="56" t="n"/>
      <c r="I157" s="58" t="str">
        <f>IF(B157="","",IFERROR(INDEX(art_poste,MATCH($B157,art_ref,0))&amp;"",""))</f>
        <v/>
      </c>
      <c r="J157" s="59" t="str">
        <f>IF(OR(B157="",G157="Annulé",N(D157)&lt;=0),"",IFERROR(ROUND(INDEX(art_setup,MATCH($B157,art_ref,0))+D157*INDEX(art_cycle,MATCH($B157,art_ref,0))/60,2),""))</f>
        <v/>
      </c>
      <c r="K157" s="60" t="str">
        <f>IF(J157="","",IFERROR(MAX(1,ROUNDUP(J157/INDEX(po_cap,MATCH(I157,po_code,0)),0)),""))</f>
        <v/>
      </c>
      <c r="L157" s="61">
        <f>IF(K157="",0,IF(N(H157)&gt;0,H157,WORKDAY.INTL(MAX(p_start-1,SUMPRODUCT(MAX(($I$6:$I156=$I157)*$M$6:$M156))),1,p_weekend,p_holidays)))</f>
        <v>0.0</v>
      </c>
      <c r="M157" s="61">
        <f>IF(K157="",0,WORKDAY.INTL(L157,K157-1,p_weekend,p_holidays))</f>
        <v>0.0</v>
      </c>
      <c r="N157" s="62" t="str">
        <f>IF(OR(M157=0,N(F157)=0,G157="Terminé"),"",F157-M157)</f>
        <v/>
      </c>
      <c r="O157" s="58" t="str">
        <f>IF(B157="","",IF(G157="Annulé","Annulé",IF(G157="Terminé","Terminé",IF(M157=0,"À compléter",IF(N(F157)=0,"Sans échéance",IF(M157&gt;F157,"En retard",IF(F157-M157&lt;=p_margin,"Juste","À l'heure")))))))</f>
        <v/>
      </c>
      <c r="P157" s="55" t="n"/>
      <c r="Q157" s="63" t="str">
        <f>IF(OR(B157="",N(D157)&lt;=0),"",MIN(1,N(P157)/D157))</f>
        <v/>
      </c>
      <c r="R157" s="64" t="str">
        <f>IF(OR(J157="",ISNA(MATCH(I157,po_code,0))),"",ROUND(J157*N(INDEX(po_rate,MATCH(I157,po_code,0))),2))</f>
        <v/>
      </c>
      <c r="S157" s="58" t="str">
        <f>IF(AND(A157="",B157=""),"",IF(B157="","Référence manquante",IF(ISNA(MATCH($B157,art_ref,0)),"Référence inconnue",IF(N(D157)&lt;=0,"Quantité invalide",IF(AND(A157&lt;&gt;"",COUNTIF(of_num,A157)&gt;1),"N° OF en double",IF(G157="Annulé","OK",IF(I157="","Poste manquant (gamme)",IF(ISNA(MATCH(I157,po_code,0)),"Poste inconnu",IF(K157="","Capacité du poste nulle",IF(AND(H157&lt;&gt;"",N(H157)=0),"Début imposé invalide",IF(AND(N(H157)&gt;0,WORKDAY.INTL(H157-1,1,p_weekend,p_holidays)&lt;&gt;H157),"Début un jour chômé",IF(AND(N(H157)&gt;0,H157&lt;=SUMPRODUCT(MAX(($I$6:$I156=$I157)*$M$6:$M156))),"Chevauche l'OF précédent",IF(N(F157)=0,"Date de besoin manquante","OK")))))))))))))</f>
        <v/>
      </c>
      <c r="T157" s="65" t="str">
        <f>IF(K157="","",J157/K157)</f>
        <v/>
      </c>
      <c r="U157" s="66" t="str">
        <f>IF(OR(O157="En retard",O157="Juste"),COUNTIF($O$6:O157,"En retard")+COUNTIF($O$6:O157,"Juste"),"")</f>
        <v/>
      </c>
    </row>
    <row r="158">
      <c r="A158" s="53" t="n"/>
      <c r="B158" s="53" t="n"/>
      <c r="C158" s="54" t="str">
        <f>IF(B158="","",IFERROR(INDEX(art_des,MATCH($B158,art_ref,0)),"Référence inconnue"))</f>
        <v/>
      </c>
      <c r="D158" s="55" t="n"/>
      <c r="E158" s="53" t="n"/>
      <c r="F158" s="56" t="n"/>
      <c r="G158" s="57" t="n"/>
      <c r="H158" s="56" t="n"/>
      <c r="I158" s="58" t="str">
        <f>IF(B158="","",IFERROR(INDEX(art_poste,MATCH($B158,art_ref,0))&amp;"",""))</f>
        <v/>
      </c>
      <c r="J158" s="59" t="str">
        <f>IF(OR(B158="",G158="Annulé",N(D158)&lt;=0),"",IFERROR(ROUND(INDEX(art_setup,MATCH($B158,art_ref,0))+D158*INDEX(art_cycle,MATCH($B158,art_ref,0))/60,2),""))</f>
        <v/>
      </c>
      <c r="K158" s="60" t="str">
        <f>IF(J158="","",IFERROR(MAX(1,ROUNDUP(J158/INDEX(po_cap,MATCH(I158,po_code,0)),0)),""))</f>
        <v/>
      </c>
      <c r="L158" s="61">
        <f>IF(K158="",0,IF(N(H158)&gt;0,H158,WORKDAY.INTL(MAX(p_start-1,SUMPRODUCT(MAX(($I$6:$I157=$I158)*$M$6:$M157))),1,p_weekend,p_holidays)))</f>
        <v>0.0</v>
      </c>
      <c r="M158" s="61">
        <f>IF(K158="",0,WORKDAY.INTL(L158,K158-1,p_weekend,p_holidays))</f>
        <v>0.0</v>
      </c>
      <c r="N158" s="62" t="str">
        <f>IF(OR(M158=0,N(F158)=0,G158="Terminé"),"",F158-M158)</f>
        <v/>
      </c>
      <c r="O158" s="58" t="str">
        <f>IF(B158="","",IF(G158="Annulé","Annulé",IF(G158="Terminé","Terminé",IF(M158=0,"À compléter",IF(N(F158)=0,"Sans échéance",IF(M158&gt;F158,"En retard",IF(F158-M158&lt;=p_margin,"Juste","À l'heure")))))))</f>
        <v/>
      </c>
      <c r="P158" s="55" t="n"/>
      <c r="Q158" s="63" t="str">
        <f>IF(OR(B158="",N(D158)&lt;=0),"",MIN(1,N(P158)/D158))</f>
        <v/>
      </c>
      <c r="R158" s="64" t="str">
        <f>IF(OR(J158="",ISNA(MATCH(I158,po_code,0))),"",ROUND(J158*N(INDEX(po_rate,MATCH(I158,po_code,0))),2))</f>
        <v/>
      </c>
      <c r="S158" s="58" t="str">
        <f>IF(AND(A158="",B158=""),"",IF(B158="","Référence manquante",IF(ISNA(MATCH($B158,art_ref,0)),"Référence inconnue",IF(N(D158)&lt;=0,"Quantité invalide",IF(AND(A158&lt;&gt;"",COUNTIF(of_num,A158)&gt;1),"N° OF en double",IF(G158="Annulé","OK",IF(I158="","Poste manquant (gamme)",IF(ISNA(MATCH(I158,po_code,0)),"Poste inconnu",IF(K158="","Capacité du poste nulle",IF(AND(H158&lt;&gt;"",N(H158)=0),"Début imposé invalide",IF(AND(N(H158)&gt;0,WORKDAY.INTL(H158-1,1,p_weekend,p_holidays)&lt;&gt;H158),"Début un jour chômé",IF(AND(N(H158)&gt;0,H158&lt;=SUMPRODUCT(MAX(($I$6:$I157=$I158)*$M$6:$M157))),"Chevauche l'OF précédent",IF(N(F158)=0,"Date de besoin manquante","OK")))))))))))))</f>
        <v/>
      </c>
      <c r="T158" s="65" t="str">
        <f>IF(K158="","",J158/K158)</f>
        <v/>
      </c>
      <c r="U158" s="66" t="str">
        <f>IF(OR(O158="En retard",O158="Juste"),COUNTIF($O$6:O158,"En retard")+COUNTIF($O$6:O158,"Juste"),"")</f>
        <v/>
      </c>
    </row>
    <row r="159">
      <c r="A159" s="53" t="n"/>
      <c r="B159" s="53" t="n"/>
      <c r="C159" s="54" t="str">
        <f>IF(B159="","",IFERROR(INDEX(art_des,MATCH($B159,art_ref,0)),"Référence inconnue"))</f>
        <v/>
      </c>
      <c r="D159" s="55" t="n"/>
      <c r="E159" s="53" t="n"/>
      <c r="F159" s="56" t="n"/>
      <c r="G159" s="57" t="n"/>
      <c r="H159" s="56" t="n"/>
      <c r="I159" s="58" t="str">
        <f>IF(B159="","",IFERROR(INDEX(art_poste,MATCH($B159,art_ref,0))&amp;"",""))</f>
        <v/>
      </c>
      <c r="J159" s="59" t="str">
        <f>IF(OR(B159="",G159="Annulé",N(D159)&lt;=0),"",IFERROR(ROUND(INDEX(art_setup,MATCH($B159,art_ref,0))+D159*INDEX(art_cycle,MATCH($B159,art_ref,0))/60,2),""))</f>
        <v/>
      </c>
      <c r="K159" s="60" t="str">
        <f>IF(J159="","",IFERROR(MAX(1,ROUNDUP(J159/INDEX(po_cap,MATCH(I159,po_code,0)),0)),""))</f>
        <v/>
      </c>
      <c r="L159" s="61">
        <f>IF(K159="",0,IF(N(H159)&gt;0,H159,WORKDAY.INTL(MAX(p_start-1,SUMPRODUCT(MAX(($I$6:$I158=$I159)*$M$6:$M158))),1,p_weekend,p_holidays)))</f>
        <v>0.0</v>
      </c>
      <c r="M159" s="61">
        <f>IF(K159="",0,WORKDAY.INTL(L159,K159-1,p_weekend,p_holidays))</f>
        <v>0.0</v>
      </c>
      <c r="N159" s="62" t="str">
        <f>IF(OR(M159=0,N(F159)=0,G159="Terminé"),"",F159-M159)</f>
        <v/>
      </c>
      <c r="O159" s="58" t="str">
        <f>IF(B159="","",IF(G159="Annulé","Annulé",IF(G159="Terminé","Terminé",IF(M159=0,"À compléter",IF(N(F159)=0,"Sans échéance",IF(M159&gt;F159,"En retard",IF(F159-M159&lt;=p_margin,"Juste","À l'heure")))))))</f>
        <v/>
      </c>
      <c r="P159" s="55" t="n"/>
      <c r="Q159" s="63" t="str">
        <f>IF(OR(B159="",N(D159)&lt;=0),"",MIN(1,N(P159)/D159))</f>
        <v/>
      </c>
      <c r="R159" s="64" t="str">
        <f>IF(OR(J159="",ISNA(MATCH(I159,po_code,0))),"",ROUND(J159*N(INDEX(po_rate,MATCH(I159,po_code,0))),2))</f>
        <v/>
      </c>
      <c r="S159" s="58" t="str">
        <f>IF(AND(A159="",B159=""),"",IF(B159="","Référence manquante",IF(ISNA(MATCH($B159,art_ref,0)),"Référence inconnue",IF(N(D159)&lt;=0,"Quantité invalide",IF(AND(A159&lt;&gt;"",COUNTIF(of_num,A159)&gt;1),"N° OF en double",IF(G159="Annulé","OK",IF(I159="","Poste manquant (gamme)",IF(ISNA(MATCH(I159,po_code,0)),"Poste inconnu",IF(K159="","Capacité du poste nulle",IF(AND(H159&lt;&gt;"",N(H159)=0),"Début imposé invalide",IF(AND(N(H159)&gt;0,WORKDAY.INTL(H159-1,1,p_weekend,p_holidays)&lt;&gt;H159),"Début un jour chômé",IF(AND(N(H159)&gt;0,H159&lt;=SUMPRODUCT(MAX(($I$6:$I158=$I159)*$M$6:$M158))),"Chevauche l'OF précédent",IF(N(F159)=0,"Date de besoin manquante","OK")))))))))))))</f>
        <v/>
      </c>
      <c r="T159" s="65" t="str">
        <f>IF(K159="","",J159/K159)</f>
        <v/>
      </c>
      <c r="U159" s="66" t="str">
        <f>IF(OR(O159="En retard",O159="Juste"),COUNTIF($O$6:O159,"En retard")+COUNTIF($O$6:O159,"Juste"),"")</f>
        <v/>
      </c>
    </row>
    <row r="160">
      <c r="A160" s="53" t="n"/>
      <c r="B160" s="53" t="n"/>
      <c r="C160" s="54" t="str">
        <f>IF(B160="","",IFERROR(INDEX(art_des,MATCH($B160,art_ref,0)),"Référence inconnue"))</f>
        <v/>
      </c>
      <c r="D160" s="55" t="n"/>
      <c r="E160" s="53" t="n"/>
      <c r="F160" s="56" t="n"/>
      <c r="G160" s="57" t="n"/>
      <c r="H160" s="56" t="n"/>
      <c r="I160" s="58" t="str">
        <f>IF(B160="","",IFERROR(INDEX(art_poste,MATCH($B160,art_ref,0))&amp;"",""))</f>
        <v/>
      </c>
      <c r="J160" s="59" t="str">
        <f>IF(OR(B160="",G160="Annulé",N(D160)&lt;=0),"",IFERROR(ROUND(INDEX(art_setup,MATCH($B160,art_ref,0))+D160*INDEX(art_cycle,MATCH($B160,art_ref,0))/60,2),""))</f>
        <v/>
      </c>
      <c r="K160" s="60" t="str">
        <f>IF(J160="","",IFERROR(MAX(1,ROUNDUP(J160/INDEX(po_cap,MATCH(I160,po_code,0)),0)),""))</f>
        <v/>
      </c>
      <c r="L160" s="61">
        <f>IF(K160="",0,IF(N(H160)&gt;0,H160,WORKDAY.INTL(MAX(p_start-1,SUMPRODUCT(MAX(($I$6:$I159=$I160)*$M$6:$M159))),1,p_weekend,p_holidays)))</f>
        <v>0.0</v>
      </c>
      <c r="M160" s="61">
        <f>IF(K160="",0,WORKDAY.INTL(L160,K160-1,p_weekend,p_holidays))</f>
        <v>0.0</v>
      </c>
      <c r="N160" s="62" t="str">
        <f>IF(OR(M160=0,N(F160)=0,G160="Terminé"),"",F160-M160)</f>
        <v/>
      </c>
      <c r="O160" s="58" t="str">
        <f>IF(B160="","",IF(G160="Annulé","Annulé",IF(G160="Terminé","Terminé",IF(M160=0,"À compléter",IF(N(F160)=0,"Sans échéance",IF(M160&gt;F160,"En retard",IF(F160-M160&lt;=p_margin,"Juste","À l'heure")))))))</f>
        <v/>
      </c>
      <c r="P160" s="55" t="n"/>
      <c r="Q160" s="63" t="str">
        <f>IF(OR(B160="",N(D160)&lt;=0),"",MIN(1,N(P160)/D160))</f>
        <v/>
      </c>
      <c r="R160" s="64" t="str">
        <f>IF(OR(J160="",ISNA(MATCH(I160,po_code,0))),"",ROUND(J160*N(INDEX(po_rate,MATCH(I160,po_code,0))),2))</f>
        <v/>
      </c>
      <c r="S160" s="58" t="str">
        <f>IF(AND(A160="",B160=""),"",IF(B160="","Référence manquante",IF(ISNA(MATCH($B160,art_ref,0)),"Référence inconnue",IF(N(D160)&lt;=0,"Quantité invalide",IF(AND(A160&lt;&gt;"",COUNTIF(of_num,A160)&gt;1),"N° OF en double",IF(G160="Annulé","OK",IF(I160="","Poste manquant (gamme)",IF(ISNA(MATCH(I160,po_code,0)),"Poste inconnu",IF(K160="","Capacité du poste nulle",IF(AND(H160&lt;&gt;"",N(H160)=0),"Début imposé invalide",IF(AND(N(H160)&gt;0,WORKDAY.INTL(H160-1,1,p_weekend,p_holidays)&lt;&gt;H160),"Début un jour chômé",IF(AND(N(H160)&gt;0,H160&lt;=SUMPRODUCT(MAX(($I$6:$I159=$I160)*$M$6:$M159))),"Chevauche l'OF précédent",IF(N(F160)=0,"Date de besoin manquante","OK")))))))))))))</f>
        <v/>
      </c>
      <c r="T160" s="65" t="str">
        <f>IF(K160="","",J160/K160)</f>
        <v/>
      </c>
      <c r="U160" s="66" t="str">
        <f>IF(OR(O160="En retard",O160="Juste"),COUNTIF($O$6:O160,"En retard")+COUNTIF($O$6:O160,"Juste"),"")</f>
        <v/>
      </c>
    </row>
    <row r="161">
      <c r="A161" s="53" t="n"/>
      <c r="B161" s="53" t="n"/>
      <c r="C161" s="54" t="str">
        <f>IF(B161="","",IFERROR(INDEX(art_des,MATCH($B161,art_ref,0)),"Référence inconnue"))</f>
        <v/>
      </c>
      <c r="D161" s="55" t="n"/>
      <c r="E161" s="53" t="n"/>
      <c r="F161" s="56" t="n"/>
      <c r="G161" s="57" t="n"/>
      <c r="H161" s="56" t="n"/>
      <c r="I161" s="58" t="str">
        <f>IF(B161="","",IFERROR(INDEX(art_poste,MATCH($B161,art_ref,0))&amp;"",""))</f>
        <v/>
      </c>
      <c r="J161" s="59" t="str">
        <f>IF(OR(B161="",G161="Annulé",N(D161)&lt;=0),"",IFERROR(ROUND(INDEX(art_setup,MATCH($B161,art_ref,0))+D161*INDEX(art_cycle,MATCH($B161,art_ref,0))/60,2),""))</f>
        <v/>
      </c>
      <c r="K161" s="60" t="str">
        <f>IF(J161="","",IFERROR(MAX(1,ROUNDUP(J161/INDEX(po_cap,MATCH(I161,po_code,0)),0)),""))</f>
        <v/>
      </c>
      <c r="L161" s="61">
        <f>IF(K161="",0,IF(N(H161)&gt;0,H161,WORKDAY.INTL(MAX(p_start-1,SUMPRODUCT(MAX(($I$6:$I160=$I161)*$M$6:$M160))),1,p_weekend,p_holidays)))</f>
        <v>0.0</v>
      </c>
      <c r="M161" s="61">
        <f>IF(K161="",0,WORKDAY.INTL(L161,K161-1,p_weekend,p_holidays))</f>
        <v>0.0</v>
      </c>
      <c r="N161" s="62" t="str">
        <f>IF(OR(M161=0,N(F161)=0,G161="Terminé"),"",F161-M161)</f>
        <v/>
      </c>
      <c r="O161" s="58" t="str">
        <f>IF(B161="","",IF(G161="Annulé","Annulé",IF(G161="Terminé","Terminé",IF(M161=0,"À compléter",IF(N(F161)=0,"Sans échéance",IF(M161&gt;F161,"En retard",IF(F161-M161&lt;=p_margin,"Juste","À l'heure")))))))</f>
        <v/>
      </c>
      <c r="P161" s="55" t="n"/>
      <c r="Q161" s="63" t="str">
        <f>IF(OR(B161="",N(D161)&lt;=0),"",MIN(1,N(P161)/D161))</f>
        <v/>
      </c>
      <c r="R161" s="64" t="str">
        <f>IF(OR(J161="",ISNA(MATCH(I161,po_code,0))),"",ROUND(J161*N(INDEX(po_rate,MATCH(I161,po_code,0))),2))</f>
        <v/>
      </c>
      <c r="S161" s="58" t="str">
        <f>IF(AND(A161="",B161=""),"",IF(B161="","Référence manquante",IF(ISNA(MATCH($B161,art_ref,0)),"Référence inconnue",IF(N(D161)&lt;=0,"Quantité invalide",IF(AND(A161&lt;&gt;"",COUNTIF(of_num,A161)&gt;1),"N° OF en double",IF(G161="Annulé","OK",IF(I161="","Poste manquant (gamme)",IF(ISNA(MATCH(I161,po_code,0)),"Poste inconnu",IF(K161="","Capacité du poste nulle",IF(AND(H161&lt;&gt;"",N(H161)=0),"Début imposé invalide",IF(AND(N(H161)&gt;0,WORKDAY.INTL(H161-1,1,p_weekend,p_holidays)&lt;&gt;H161),"Début un jour chômé",IF(AND(N(H161)&gt;0,H161&lt;=SUMPRODUCT(MAX(($I$6:$I160=$I161)*$M$6:$M160))),"Chevauche l'OF précédent",IF(N(F161)=0,"Date de besoin manquante","OK")))))))))))))</f>
        <v/>
      </c>
      <c r="T161" s="65" t="str">
        <f>IF(K161="","",J161/K161)</f>
        <v/>
      </c>
      <c r="U161" s="66" t="str">
        <f>IF(OR(O161="En retard",O161="Juste"),COUNTIF($O$6:O161,"En retard")+COUNTIF($O$6:O161,"Juste"),"")</f>
        <v/>
      </c>
    </row>
    <row r="162">
      <c r="A162" s="53" t="n"/>
      <c r="B162" s="53" t="n"/>
      <c r="C162" s="54" t="str">
        <f>IF(B162="","",IFERROR(INDEX(art_des,MATCH($B162,art_ref,0)),"Référence inconnue"))</f>
        <v/>
      </c>
      <c r="D162" s="55" t="n"/>
      <c r="E162" s="53" t="n"/>
      <c r="F162" s="56" t="n"/>
      <c r="G162" s="57" t="n"/>
      <c r="H162" s="56" t="n"/>
      <c r="I162" s="58" t="str">
        <f>IF(B162="","",IFERROR(INDEX(art_poste,MATCH($B162,art_ref,0))&amp;"",""))</f>
        <v/>
      </c>
      <c r="J162" s="59" t="str">
        <f>IF(OR(B162="",G162="Annulé",N(D162)&lt;=0),"",IFERROR(ROUND(INDEX(art_setup,MATCH($B162,art_ref,0))+D162*INDEX(art_cycle,MATCH($B162,art_ref,0))/60,2),""))</f>
        <v/>
      </c>
      <c r="K162" s="60" t="str">
        <f>IF(J162="","",IFERROR(MAX(1,ROUNDUP(J162/INDEX(po_cap,MATCH(I162,po_code,0)),0)),""))</f>
        <v/>
      </c>
      <c r="L162" s="61">
        <f>IF(K162="",0,IF(N(H162)&gt;0,H162,WORKDAY.INTL(MAX(p_start-1,SUMPRODUCT(MAX(($I$6:$I161=$I162)*$M$6:$M161))),1,p_weekend,p_holidays)))</f>
        <v>0.0</v>
      </c>
      <c r="M162" s="61">
        <f>IF(K162="",0,WORKDAY.INTL(L162,K162-1,p_weekend,p_holidays))</f>
        <v>0.0</v>
      </c>
      <c r="N162" s="62" t="str">
        <f>IF(OR(M162=0,N(F162)=0,G162="Terminé"),"",F162-M162)</f>
        <v/>
      </c>
      <c r="O162" s="58" t="str">
        <f>IF(B162="","",IF(G162="Annulé","Annulé",IF(G162="Terminé","Terminé",IF(M162=0,"À compléter",IF(N(F162)=0,"Sans échéance",IF(M162&gt;F162,"En retard",IF(F162-M162&lt;=p_margin,"Juste","À l'heure")))))))</f>
        <v/>
      </c>
      <c r="P162" s="55" t="n"/>
      <c r="Q162" s="63" t="str">
        <f>IF(OR(B162="",N(D162)&lt;=0),"",MIN(1,N(P162)/D162))</f>
        <v/>
      </c>
      <c r="R162" s="64" t="str">
        <f>IF(OR(J162="",ISNA(MATCH(I162,po_code,0))),"",ROUND(J162*N(INDEX(po_rate,MATCH(I162,po_code,0))),2))</f>
        <v/>
      </c>
      <c r="S162" s="58" t="str">
        <f>IF(AND(A162="",B162=""),"",IF(B162="","Référence manquante",IF(ISNA(MATCH($B162,art_ref,0)),"Référence inconnue",IF(N(D162)&lt;=0,"Quantité invalide",IF(AND(A162&lt;&gt;"",COUNTIF(of_num,A162)&gt;1),"N° OF en double",IF(G162="Annulé","OK",IF(I162="","Poste manquant (gamme)",IF(ISNA(MATCH(I162,po_code,0)),"Poste inconnu",IF(K162="","Capacité du poste nulle",IF(AND(H162&lt;&gt;"",N(H162)=0),"Début imposé invalide",IF(AND(N(H162)&gt;0,WORKDAY.INTL(H162-1,1,p_weekend,p_holidays)&lt;&gt;H162),"Début un jour chômé",IF(AND(N(H162)&gt;0,H162&lt;=SUMPRODUCT(MAX(($I$6:$I161=$I162)*$M$6:$M161))),"Chevauche l'OF précédent",IF(N(F162)=0,"Date de besoin manquante","OK")))))))))))))</f>
        <v/>
      </c>
      <c r="T162" s="65" t="str">
        <f>IF(K162="","",J162/K162)</f>
        <v/>
      </c>
      <c r="U162" s="66" t="str">
        <f>IF(OR(O162="En retard",O162="Juste"),COUNTIF($O$6:O162,"En retard")+COUNTIF($O$6:O162,"Juste"),"")</f>
        <v/>
      </c>
    </row>
    <row r="163">
      <c r="A163" s="53" t="n"/>
      <c r="B163" s="53" t="n"/>
      <c r="C163" s="54" t="str">
        <f>IF(B163="","",IFERROR(INDEX(art_des,MATCH($B163,art_ref,0)),"Référence inconnue"))</f>
        <v/>
      </c>
      <c r="D163" s="55" t="n"/>
      <c r="E163" s="53" t="n"/>
      <c r="F163" s="56" t="n"/>
      <c r="G163" s="57" t="n"/>
      <c r="H163" s="56" t="n"/>
      <c r="I163" s="58" t="str">
        <f>IF(B163="","",IFERROR(INDEX(art_poste,MATCH($B163,art_ref,0))&amp;"",""))</f>
        <v/>
      </c>
      <c r="J163" s="59" t="str">
        <f>IF(OR(B163="",G163="Annulé",N(D163)&lt;=0),"",IFERROR(ROUND(INDEX(art_setup,MATCH($B163,art_ref,0))+D163*INDEX(art_cycle,MATCH($B163,art_ref,0))/60,2),""))</f>
        <v/>
      </c>
      <c r="K163" s="60" t="str">
        <f>IF(J163="","",IFERROR(MAX(1,ROUNDUP(J163/INDEX(po_cap,MATCH(I163,po_code,0)),0)),""))</f>
        <v/>
      </c>
      <c r="L163" s="61">
        <f>IF(K163="",0,IF(N(H163)&gt;0,H163,WORKDAY.INTL(MAX(p_start-1,SUMPRODUCT(MAX(($I$6:$I162=$I163)*$M$6:$M162))),1,p_weekend,p_holidays)))</f>
        <v>0.0</v>
      </c>
      <c r="M163" s="61">
        <f>IF(K163="",0,WORKDAY.INTL(L163,K163-1,p_weekend,p_holidays))</f>
        <v>0.0</v>
      </c>
      <c r="N163" s="62" t="str">
        <f>IF(OR(M163=0,N(F163)=0,G163="Terminé"),"",F163-M163)</f>
        <v/>
      </c>
      <c r="O163" s="58" t="str">
        <f>IF(B163="","",IF(G163="Annulé","Annulé",IF(G163="Terminé","Terminé",IF(M163=0,"À compléter",IF(N(F163)=0,"Sans échéance",IF(M163&gt;F163,"En retard",IF(F163-M163&lt;=p_margin,"Juste","À l'heure")))))))</f>
        <v/>
      </c>
      <c r="P163" s="55" t="n"/>
      <c r="Q163" s="63" t="str">
        <f>IF(OR(B163="",N(D163)&lt;=0),"",MIN(1,N(P163)/D163))</f>
        <v/>
      </c>
      <c r="R163" s="64" t="str">
        <f>IF(OR(J163="",ISNA(MATCH(I163,po_code,0))),"",ROUND(J163*N(INDEX(po_rate,MATCH(I163,po_code,0))),2))</f>
        <v/>
      </c>
      <c r="S163" s="58" t="str">
        <f>IF(AND(A163="",B163=""),"",IF(B163="","Référence manquante",IF(ISNA(MATCH($B163,art_ref,0)),"Référence inconnue",IF(N(D163)&lt;=0,"Quantité invalide",IF(AND(A163&lt;&gt;"",COUNTIF(of_num,A163)&gt;1),"N° OF en double",IF(G163="Annulé","OK",IF(I163="","Poste manquant (gamme)",IF(ISNA(MATCH(I163,po_code,0)),"Poste inconnu",IF(K163="","Capacité du poste nulle",IF(AND(H163&lt;&gt;"",N(H163)=0),"Début imposé invalide",IF(AND(N(H163)&gt;0,WORKDAY.INTL(H163-1,1,p_weekend,p_holidays)&lt;&gt;H163),"Début un jour chômé",IF(AND(N(H163)&gt;0,H163&lt;=SUMPRODUCT(MAX(($I$6:$I162=$I163)*$M$6:$M162))),"Chevauche l'OF précédent",IF(N(F163)=0,"Date de besoin manquante","OK")))))))))))))</f>
        <v/>
      </c>
      <c r="T163" s="65" t="str">
        <f>IF(K163="","",J163/K163)</f>
        <v/>
      </c>
      <c r="U163" s="66" t="str">
        <f>IF(OR(O163="En retard",O163="Juste"),COUNTIF($O$6:O163,"En retard")+COUNTIF($O$6:O163,"Juste"),"")</f>
        <v/>
      </c>
    </row>
    <row r="164">
      <c r="A164" s="53" t="n"/>
      <c r="B164" s="53" t="n"/>
      <c r="C164" s="54" t="str">
        <f>IF(B164="","",IFERROR(INDEX(art_des,MATCH($B164,art_ref,0)),"Référence inconnue"))</f>
        <v/>
      </c>
      <c r="D164" s="55" t="n"/>
      <c r="E164" s="53" t="n"/>
      <c r="F164" s="56" t="n"/>
      <c r="G164" s="57" t="n"/>
      <c r="H164" s="56" t="n"/>
      <c r="I164" s="58" t="str">
        <f>IF(B164="","",IFERROR(INDEX(art_poste,MATCH($B164,art_ref,0))&amp;"",""))</f>
        <v/>
      </c>
      <c r="J164" s="59" t="str">
        <f>IF(OR(B164="",G164="Annulé",N(D164)&lt;=0),"",IFERROR(ROUND(INDEX(art_setup,MATCH($B164,art_ref,0))+D164*INDEX(art_cycle,MATCH($B164,art_ref,0))/60,2),""))</f>
        <v/>
      </c>
      <c r="K164" s="60" t="str">
        <f>IF(J164="","",IFERROR(MAX(1,ROUNDUP(J164/INDEX(po_cap,MATCH(I164,po_code,0)),0)),""))</f>
        <v/>
      </c>
      <c r="L164" s="61">
        <f>IF(K164="",0,IF(N(H164)&gt;0,H164,WORKDAY.INTL(MAX(p_start-1,SUMPRODUCT(MAX(($I$6:$I163=$I164)*$M$6:$M163))),1,p_weekend,p_holidays)))</f>
        <v>0.0</v>
      </c>
      <c r="M164" s="61">
        <f>IF(K164="",0,WORKDAY.INTL(L164,K164-1,p_weekend,p_holidays))</f>
        <v>0.0</v>
      </c>
      <c r="N164" s="62" t="str">
        <f>IF(OR(M164=0,N(F164)=0,G164="Terminé"),"",F164-M164)</f>
        <v/>
      </c>
      <c r="O164" s="58" t="str">
        <f>IF(B164="","",IF(G164="Annulé","Annulé",IF(G164="Terminé","Terminé",IF(M164=0,"À compléter",IF(N(F164)=0,"Sans échéance",IF(M164&gt;F164,"En retard",IF(F164-M164&lt;=p_margin,"Juste","À l'heure")))))))</f>
        <v/>
      </c>
      <c r="P164" s="55" t="n"/>
      <c r="Q164" s="63" t="str">
        <f>IF(OR(B164="",N(D164)&lt;=0),"",MIN(1,N(P164)/D164))</f>
        <v/>
      </c>
      <c r="R164" s="64" t="str">
        <f>IF(OR(J164="",ISNA(MATCH(I164,po_code,0))),"",ROUND(J164*N(INDEX(po_rate,MATCH(I164,po_code,0))),2))</f>
        <v/>
      </c>
      <c r="S164" s="58" t="str">
        <f>IF(AND(A164="",B164=""),"",IF(B164="","Référence manquante",IF(ISNA(MATCH($B164,art_ref,0)),"Référence inconnue",IF(N(D164)&lt;=0,"Quantité invalide",IF(AND(A164&lt;&gt;"",COUNTIF(of_num,A164)&gt;1),"N° OF en double",IF(G164="Annulé","OK",IF(I164="","Poste manquant (gamme)",IF(ISNA(MATCH(I164,po_code,0)),"Poste inconnu",IF(K164="","Capacité du poste nulle",IF(AND(H164&lt;&gt;"",N(H164)=0),"Début imposé invalide",IF(AND(N(H164)&gt;0,WORKDAY.INTL(H164-1,1,p_weekend,p_holidays)&lt;&gt;H164),"Début un jour chômé",IF(AND(N(H164)&gt;0,H164&lt;=SUMPRODUCT(MAX(($I$6:$I163=$I164)*$M$6:$M163))),"Chevauche l'OF précédent",IF(N(F164)=0,"Date de besoin manquante","OK")))))))))))))</f>
        <v/>
      </c>
      <c r="T164" s="65" t="str">
        <f>IF(K164="","",J164/K164)</f>
        <v/>
      </c>
      <c r="U164" s="66" t="str">
        <f>IF(OR(O164="En retard",O164="Juste"),COUNTIF($O$6:O164,"En retard")+COUNTIF($O$6:O164,"Juste"),"")</f>
        <v/>
      </c>
    </row>
    <row r="165">
      <c r="A165" s="53" t="n"/>
      <c r="B165" s="53" t="n"/>
      <c r="C165" s="54" t="str">
        <f>IF(B165="","",IFERROR(INDEX(art_des,MATCH($B165,art_ref,0)),"Référence inconnue"))</f>
        <v/>
      </c>
      <c r="D165" s="55" t="n"/>
      <c r="E165" s="53" t="n"/>
      <c r="F165" s="56" t="n"/>
      <c r="G165" s="57" t="n"/>
      <c r="H165" s="56" t="n"/>
      <c r="I165" s="58" t="str">
        <f>IF(B165="","",IFERROR(INDEX(art_poste,MATCH($B165,art_ref,0))&amp;"",""))</f>
        <v/>
      </c>
      <c r="J165" s="59" t="str">
        <f>IF(OR(B165="",G165="Annulé",N(D165)&lt;=0),"",IFERROR(ROUND(INDEX(art_setup,MATCH($B165,art_ref,0))+D165*INDEX(art_cycle,MATCH($B165,art_ref,0))/60,2),""))</f>
        <v/>
      </c>
      <c r="K165" s="60" t="str">
        <f>IF(J165="","",IFERROR(MAX(1,ROUNDUP(J165/INDEX(po_cap,MATCH(I165,po_code,0)),0)),""))</f>
        <v/>
      </c>
      <c r="L165" s="61">
        <f>IF(K165="",0,IF(N(H165)&gt;0,H165,WORKDAY.INTL(MAX(p_start-1,SUMPRODUCT(MAX(($I$6:$I164=$I165)*$M$6:$M164))),1,p_weekend,p_holidays)))</f>
        <v>0.0</v>
      </c>
      <c r="M165" s="61">
        <f>IF(K165="",0,WORKDAY.INTL(L165,K165-1,p_weekend,p_holidays))</f>
        <v>0.0</v>
      </c>
      <c r="N165" s="62" t="str">
        <f>IF(OR(M165=0,N(F165)=0,G165="Terminé"),"",F165-M165)</f>
        <v/>
      </c>
      <c r="O165" s="58" t="str">
        <f>IF(B165="","",IF(G165="Annulé","Annulé",IF(G165="Terminé","Terminé",IF(M165=0,"À compléter",IF(N(F165)=0,"Sans échéance",IF(M165&gt;F165,"En retard",IF(F165-M165&lt;=p_margin,"Juste","À l'heure")))))))</f>
        <v/>
      </c>
      <c r="P165" s="55" t="n"/>
      <c r="Q165" s="63" t="str">
        <f>IF(OR(B165="",N(D165)&lt;=0),"",MIN(1,N(P165)/D165))</f>
        <v/>
      </c>
      <c r="R165" s="64" t="str">
        <f>IF(OR(J165="",ISNA(MATCH(I165,po_code,0))),"",ROUND(J165*N(INDEX(po_rate,MATCH(I165,po_code,0))),2))</f>
        <v/>
      </c>
      <c r="S165" s="58" t="str">
        <f>IF(AND(A165="",B165=""),"",IF(B165="","Référence manquante",IF(ISNA(MATCH($B165,art_ref,0)),"Référence inconnue",IF(N(D165)&lt;=0,"Quantité invalide",IF(AND(A165&lt;&gt;"",COUNTIF(of_num,A165)&gt;1),"N° OF en double",IF(G165="Annulé","OK",IF(I165="","Poste manquant (gamme)",IF(ISNA(MATCH(I165,po_code,0)),"Poste inconnu",IF(K165="","Capacité du poste nulle",IF(AND(H165&lt;&gt;"",N(H165)=0),"Début imposé invalide",IF(AND(N(H165)&gt;0,WORKDAY.INTL(H165-1,1,p_weekend,p_holidays)&lt;&gt;H165),"Début un jour chômé",IF(AND(N(H165)&gt;0,H165&lt;=SUMPRODUCT(MAX(($I$6:$I164=$I165)*$M$6:$M164))),"Chevauche l'OF précédent",IF(N(F165)=0,"Date de besoin manquante","OK")))))))))))))</f>
        <v/>
      </c>
      <c r="T165" s="65" t="str">
        <f>IF(K165="","",J165/K165)</f>
        <v/>
      </c>
      <c r="U165" s="66" t="str">
        <f>IF(OR(O165="En retard",O165="Juste"),COUNTIF($O$6:O165,"En retard")+COUNTIF($O$6:O165,"Juste"),"")</f>
        <v/>
      </c>
    </row>
    <row r="166">
      <c r="A166" s="53" t="n"/>
      <c r="B166" s="53" t="n"/>
      <c r="C166" s="54" t="str">
        <f>IF(B166="","",IFERROR(INDEX(art_des,MATCH($B166,art_ref,0)),"Référence inconnue"))</f>
        <v/>
      </c>
      <c r="D166" s="55" t="n"/>
      <c r="E166" s="53" t="n"/>
      <c r="F166" s="56" t="n"/>
      <c r="G166" s="57" t="n"/>
      <c r="H166" s="56" t="n"/>
      <c r="I166" s="58" t="str">
        <f>IF(B166="","",IFERROR(INDEX(art_poste,MATCH($B166,art_ref,0))&amp;"",""))</f>
        <v/>
      </c>
      <c r="J166" s="59" t="str">
        <f>IF(OR(B166="",G166="Annulé",N(D166)&lt;=0),"",IFERROR(ROUND(INDEX(art_setup,MATCH($B166,art_ref,0))+D166*INDEX(art_cycle,MATCH($B166,art_ref,0))/60,2),""))</f>
        <v/>
      </c>
      <c r="K166" s="60" t="str">
        <f>IF(J166="","",IFERROR(MAX(1,ROUNDUP(J166/INDEX(po_cap,MATCH(I166,po_code,0)),0)),""))</f>
        <v/>
      </c>
      <c r="L166" s="61">
        <f>IF(K166="",0,IF(N(H166)&gt;0,H166,WORKDAY.INTL(MAX(p_start-1,SUMPRODUCT(MAX(($I$6:$I165=$I166)*$M$6:$M165))),1,p_weekend,p_holidays)))</f>
        <v>0.0</v>
      </c>
      <c r="M166" s="61">
        <f>IF(K166="",0,WORKDAY.INTL(L166,K166-1,p_weekend,p_holidays))</f>
        <v>0.0</v>
      </c>
      <c r="N166" s="62" t="str">
        <f>IF(OR(M166=0,N(F166)=0,G166="Terminé"),"",F166-M166)</f>
        <v/>
      </c>
      <c r="O166" s="58" t="str">
        <f>IF(B166="","",IF(G166="Annulé","Annulé",IF(G166="Terminé","Terminé",IF(M166=0,"À compléter",IF(N(F166)=0,"Sans échéance",IF(M166&gt;F166,"En retard",IF(F166-M166&lt;=p_margin,"Juste","À l'heure")))))))</f>
        <v/>
      </c>
      <c r="P166" s="55" t="n"/>
      <c r="Q166" s="63" t="str">
        <f>IF(OR(B166="",N(D166)&lt;=0),"",MIN(1,N(P166)/D166))</f>
        <v/>
      </c>
      <c r="R166" s="64" t="str">
        <f>IF(OR(J166="",ISNA(MATCH(I166,po_code,0))),"",ROUND(J166*N(INDEX(po_rate,MATCH(I166,po_code,0))),2))</f>
        <v/>
      </c>
      <c r="S166" s="58" t="str">
        <f>IF(AND(A166="",B166=""),"",IF(B166="","Référence manquante",IF(ISNA(MATCH($B166,art_ref,0)),"Référence inconnue",IF(N(D166)&lt;=0,"Quantité invalide",IF(AND(A166&lt;&gt;"",COUNTIF(of_num,A166)&gt;1),"N° OF en double",IF(G166="Annulé","OK",IF(I166="","Poste manquant (gamme)",IF(ISNA(MATCH(I166,po_code,0)),"Poste inconnu",IF(K166="","Capacité du poste nulle",IF(AND(H166&lt;&gt;"",N(H166)=0),"Début imposé invalide",IF(AND(N(H166)&gt;0,WORKDAY.INTL(H166-1,1,p_weekend,p_holidays)&lt;&gt;H166),"Début un jour chômé",IF(AND(N(H166)&gt;0,H166&lt;=SUMPRODUCT(MAX(($I$6:$I165=$I166)*$M$6:$M165))),"Chevauche l'OF précédent",IF(N(F166)=0,"Date de besoin manquante","OK")))))))))))))</f>
        <v/>
      </c>
      <c r="T166" s="65" t="str">
        <f>IF(K166="","",J166/K166)</f>
        <v/>
      </c>
      <c r="U166" s="66" t="str">
        <f>IF(OR(O166="En retard",O166="Juste"),COUNTIF($O$6:O166,"En retard")+COUNTIF($O$6:O166,"Juste"),"")</f>
        <v/>
      </c>
    </row>
    <row r="167">
      <c r="A167" s="53" t="n"/>
      <c r="B167" s="53" t="n"/>
      <c r="C167" s="54" t="str">
        <f>IF(B167="","",IFERROR(INDEX(art_des,MATCH($B167,art_ref,0)),"Référence inconnue"))</f>
        <v/>
      </c>
      <c r="D167" s="55" t="n"/>
      <c r="E167" s="53" t="n"/>
      <c r="F167" s="56" t="n"/>
      <c r="G167" s="57" t="n"/>
      <c r="H167" s="56" t="n"/>
      <c r="I167" s="58" t="str">
        <f>IF(B167="","",IFERROR(INDEX(art_poste,MATCH($B167,art_ref,0))&amp;"",""))</f>
        <v/>
      </c>
      <c r="J167" s="59" t="str">
        <f>IF(OR(B167="",G167="Annulé",N(D167)&lt;=0),"",IFERROR(ROUND(INDEX(art_setup,MATCH($B167,art_ref,0))+D167*INDEX(art_cycle,MATCH($B167,art_ref,0))/60,2),""))</f>
        <v/>
      </c>
      <c r="K167" s="60" t="str">
        <f>IF(J167="","",IFERROR(MAX(1,ROUNDUP(J167/INDEX(po_cap,MATCH(I167,po_code,0)),0)),""))</f>
        <v/>
      </c>
      <c r="L167" s="61">
        <f>IF(K167="",0,IF(N(H167)&gt;0,H167,WORKDAY.INTL(MAX(p_start-1,SUMPRODUCT(MAX(($I$6:$I166=$I167)*$M$6:$M166))),1,p_weekend,p_holidays)))</f>
        <v>0.0</v>
      </c>
      <c r="M167" s="61">
        <f>IF(K167="",0,WORKDAY.INTL(L167,K167-1,p_weekend,p_holidays))</f>
        <v>0.0</v>
      </c>
      <c r="N167" s="62" t="str">
        <f>IF(OR(M167=0,N(F167)=0,G167="Terminé"),"",F167-M167)</f>
        <v/>
      </c>
      <c r="O167" s="58" t="str">
        <f>IF(B167="","",IF(G167="Annulé","Annulé",IF(G167="Terminé","Terminé",IF(M167=0,"À compléter",IF(N(F167)=0,"Sans échéance",IF(M167&gt;F167,"En retard",IF(F167-M167&lt;=p_margin,"Juste","À l'heure")))))))</f>
        <v/>
      </c>
      <c r="P167" s="55" t="n"/>
      <c r="Q167" s="63" t="str">
        <f>IF(OR(B167="",N(D167)&lt;=0),"",MIN(1,N(P167)/D167))</f>
        <v/>
      </c>
      <c r="R167" s="64" t="str">
        <f>IF(OR(J167="",ISNA(MATCH(I167,po_code,0))),"",ROUND(J167*N(INDEX(po_rate,MATCH(I167,po_code,0))),2))</f>
        <v/>
      </c>
      <c r="S167" s="58" t="str">
        <f>IF(AND(A167="",B167=""),"",IF(B167="","Référence manquante",IF(ISNA(MATCH($B167,art_ref,0)),"Référence inconnue",IF(N(D167)&lt;=0,"Quantité invalide",IF(AND(A167&lt;&gt;"",COUNTIF(of_num,A167)&gt;1),"N° OF en double",IF(G167="Annulé","OK",IF(I167="","Poste manquant (gamme)",IF(ISNA(MATCH(I167,po_code,0)),"Poste inconnu",IF(K167="","Capacité du poste nulle",IF(AND(H167&lt;&gt;"",N(H167)=0),"Début imposé invalide",IF(AND(N(H167)&gt;0,WORKDAY.INTL(H167-1,1,p_weekend,p_holidays)&lt;&gt;H167),"Début un jour chômé",IF(AND(N(H167)&gt;0,H167&lt;=SUMPRODUCT(MAX(($I$6:$I166=$I167)*$M$6:$M166))),"Chevauche l'OF précédent",IF(N(F167)=0,"Date de besoin manquante","OK")))))))))))))</f>
        <v/>
      </c>
      <c r="T167" s="65" t="str">
        <f>IF(K167="","",J167/K167)</f>
        <v/>
      </c>
      <c r="U167" s="66" t="str">
        <f>IF(OR(O167="En retard",O167="Juste"),COUNTIF($O$6:O167,"En retard")+COUNTIF($O$6:O167,"Juste"),"")</f>
        <v/>
      </c>
    </row>
    <row r="168">
      <c r="A168" s="53" t="n"/>
      <c r="B168" s="53" t="n"/>
      <c r="C168" s="54" t="str">
        <f>IF(B168="","",IFERROR(INDEX(art_des,MATCH($B168,art_ref,0)),"Référence inconnue"))</f>
        <v/>
      </c>
      <c r="D168" s="55" t="n"/>
      <c r="E168" s="53" t="n"/>
      <c r="F168" s="56" t="n"/>
      <c r="G168" s="57" t="n"/>
      <c r="H168" s="56" t="n"/>
      <c r="I168" s="58" t="str">
        <f>IF(B168="","",IFERROR(INDEX(art_poste,MATCH($B168,art_ref,0))&amp;"",""))</f>
        <v/>
      </c>
      <c r="J168" s="59" t="str">
        <f>IF(OR(B168="",G168="Annulé",N(D168)&lt;=0),"",IFERROR(ROUND(INDEX(art_setup,MATCH($B168,art_ref,0))+D168*INDEX(art_cycle,MATCH($B168,art_ref,0))/60,2),""))</f>
        <v/>
      </c>
      <c r="K168" s="60" t="str">
        <f>IF(J168="","",IFERROR(MAX(1,ROUNDUP(J168/INDEX(po_cap,MATCH(I168,po_code,0)),0)),""))</f>
        <v/>
      </c>
      <c r="L168" s="61">
        <f>IF(K168="",0,IF(N(H168)&gt;0,H168,WORKDAY.INTL(MAX(p_start-1,SUMPRODUCT(MAX(($I$6:$I167=$I168)*$M$6:$M167))),1,p_weekend,p_holidays)))</f>
        <v>0.0</v>
      </c>
      <c r="M168" s="61">
        <f>IF(K168="",0,WORKDAY.INTL(L168,K168-1,p_weekend,p_holidays))</f>
        <v>0.0</v>
      </c>
      <c r="N168" s="62" t="str">
        <f>IF(OR(M168=0,N(F168)=0,G168="Terminé"),"",F168-M168)</f>
        <v/>
      </c>
      <c r="O168" s="58" t="str">
        <f>IF(B168="","",IF(G168="Annulé","Annulé",IF(G168="Terminé","Terminé",IF(M168=0,"À compléter",IF(N(F168)=0,"Sans échéance",IF(M168&gt;F168,"En retard",IF(F168-M168&lt;=p_margin,"Juste","À l'heure")))))))</f>
        <v/>
      </c>
      <c r="P168" s="55" t="n"/>
      <c r="Q168" s="63" t="str">
        <f>IF(OR(B168="",N(D168)&lt;=0),"",MIN(1,N(P168)/D168))</f>
        <v/>
      </c>
      <c r="R168" s="64" t="str">
        <f>IF(OR(J168="",ISNA(MATCH(I168,po_code,0))),"",ROUND(J168*N(INDEX(po_rate,MATCH(I168,po_code,0))),2))</f>
        <v/>
      </c>
      <c r="S168" s="58" t="str">
        <f>IF(AND(A168="",B168=""),"",IF(B168="","Référence manquante",IF(ISNA(MATCH($B168,art_ref,0)),"Référence inconnue",IF(N(D168)&lt;=0,"Quantité invalide",IF(AND(A168&lt;&gt;"",COUNTIF(of_num,A168)&gt;1),"N° OF en double",IF(G168="Annulé","OK",IF(I168="","Poste manquant (gamme)",IF(ISNA(MATCH(I168,po_code,0)),"Poste inconnu",IF(K168="","Capacité du poste nulle",IF(AND(H168&lt;&gt;"",N(H168)=0),"Début imposé invalide",IF(AND(N(H168)&gt;0,WORKDAY.INTL(H168-1,1,p_weekend,p_holidays)&lt;&gt;H168),"Début un jour chômé",IF(AND(N(H168)&gt;0,H168&lt;=SUMPRODUCT(MAX(($I$6:$I167=$I168)*$M$6:$M167))),"Chevauche l'OF précédent",IF(N(F168)=0,"Date de besoin manquante","OK")))))))))))))</f>
        <v/>
      </c>
      <c r="T168" s="65" t="str">
        <f>IF(K168="","",J168/K168)</f>
        <v/>
      </c>
      <c r="U168" s="66" t="str">
        <f>IF(OR(O168="En retard",O168="Juste"),COUNTIF($O$6:O168,"En retard")+COUNTIF($O$6:O168,"Juste"),"")</f>
        <v/>
      </c>
    </row>
    <row r="169">
      <c r="A169" s="53" t="n"/>
      <c r="B169" s="53" t="n"/>
      <c r="C169" s="54" t="str">
        <f>IF(B169="","",IFERROR(INDEX(art_des,MATCH($B169,art_ref,0)),"Référence inconnue"))</f>
        <v/>
      </c>
      <c r="D169" s="55" t="n"/>
      <c r="E169" s="53" t="n"/>
      <c r="F169" s="56" t="n"/>
      <c r="G169" s="57" t="n"/>
      <c r="H169" s="56" t="n"/>
      <c r="I169" s="58" t="str">
        <f>IF(B169="","",IFERROR(INDEX(art_poste,MATCH($B169,art_ref,0))&amp;"",""))</f>
        <v/>
      </c>
      <c r="J169" s="59" t="str">
        <f>IF(OR(B169="",G169="Annulé",N(D169)&lt;=0),"",IFERROR(ROUND(INDEX(art_setup,MATCH($B169,art_ref,0))+D169*INDEX(art_cycle,MATCH($B169,art_ref,0))/60,2),""))</f>
        <v/>
      </c>
      <c r="K169" s="60" t="str">
        <f>IF(J169="","",IFERROR(MAX(1,ROUNDUP(J169/INDEX(po_cap,MATCH(I169,po_code,0)),0)),""))</f>
        <v/>
      </c>
      <c r="L169" s="61">
        <f>IF(K169="",0,IF(N(H169)&gt;0,H169,WORKDAY.INTL(MAX(p_start-1,SUMPRODUCT(MAX(($I$6:$I168=$I169)*$M$6:$M168))),1,p_weekend,p_holidays)))</f>
        <v>0.0</v>
      </c>
      <c r="M169" s="61">
        <f>IF(K169="",0,WORKDAY.INTL(L169,K169-1,p_weekend,p_holidays))</f>
        <v>0.0</v>
      </c>
      <c r="N169" s="62" t="str">
        <f>IF(OR(M169=0,N(F169)=0,G169="Terminé"),"",F169-M169)</f>
        <v/>
      </c>
      <c r="O169" s="58" t="str">
        <f>IF(B169="","",IF(G169="Annulé","Annulé",IF(G169="Terminé","Terminé",IF(M169=0,"À compléter",IF(N(F169)=0,"Sans échéance",IF(M169&gt;F169,"En retard",IF(F169-M169&lt;=p_margin,"Juste","À l'heure")))))))</f>
        <v/>
      </c>
      <c r="P169" s="55" t="n"/>
      <c r="Q169" s="63" t="str">
        <f>IF(OR(B169="",N(D169)&lt;=0),"",MIN(1,N(P169)/D169))</f>
        <v/>
      </c>
      <c r="R169" s="64" t="str">
        <f>IF(OR(J169="",ISNA(MATCH(I169,po_code,0))),"",ROUND(J169*N(INDEX(po_rate,MATCH(I169,po_code,0))),2))</f>
        <v/>
      </c>
      <c r="S169" s="58" t="str">
        <f>IF(AND(A169="",B169=""),"",IF(B169="","Référence manquante",IF(ISNA(MATCH($B169,art_ref,0)),"Référence inconnue",IF(N(D169)&lt;=0,"Quantité invalide",IF(AND(A169&lt;&gt;"",COUNTIF(of_num,A169)&gt;1),"N° OF en double",IF(G169="Annulé","OK",IF(I169="","Poste manquant (gamme)",IF(ISNA(MATCH(I169,po_code,0)),"Poste inconnu",IF(K169="","Capacité du poste nulle",IF(AND(H169&lt;&gt;"",N(H169)=0),"Début imposé invalide",IF(AND(N(H169)&gt;0,WORKDAY.INTL(H169-1,1,p_weekend,p_holidays)&lt;&gt;H169),"Début un jour chômé",IF(AND(N(H169)&gt;0,H169&lt;=SUMPRODUCT(MAX(($I$6:$I168=$I169)*$M$6:$M168))),"Chevauche l'OF précédent",IF(N(F169)=0,"Date de besoin manquante","OK")))))))))))))</f>
        <v/>
      </c>
      <c r="T169" s="65" t="str">
        <f>IF(K169="","",J169/K169)</f>
        <v/>
      </c>
      <c r="U169" s="66" t="str">
        <f>IF(OR(O169="En retard",O169="Juste"),COUNTIF($O$6:O169,"En retard")+COUNTIF($O$6:O169,"Juste"),"")</f>
        <v/>
      </c>
    </row>
    <row r="170">
      <c r="A170" s="53" t="n"/>
      <c r="B170" s="53" t="n"/>
      <c r="C170" s="54" t="str">
        <f>IF(B170="","",IFERROR(INDEX(art_des,MATCH($B170,art_ref,0)),"Référence inconnue"))</f>
        <v/>
      </c>
      <c r="D170" s="55" t="n"/>
      <c r="E170" s="53" t="n"/>
      <c r="F170" s="56" t="n"/>
      <c r="G170" s="57" t="n"/>
      <c r="H170" s="56" t="n"/>
      <c r="I170" s="58" t="str">
        <f>IF(B170="","",IFERROR(INDEX(art_poste,MATCH($B170,art_ref,0))&amp;"",""))</f>
        <v/>
      </c>
      <c r="J170" s="59" t="str">
        <f>IF(OR(B170="",G170="Annulé",N(D170)&lt;=0),"",IFERROR(ROUND(INDEX(art_setup,MATCH($B170,art_ref,0))+D170*INDEX(art_cycle,MATCH($B170,art_ref,0))/60,2),""))</f>
        <v/>
      </c>
      <c r="K170" s="60" t="str">
        <f>IF(J170="","",IFERROR(MAX(1,ROUNDUP(J170/INDEX(po_cap,MATCH(I170,po_code,0)),0)),""))</f>
        <v/>
      </c>
      <c r="L170" s="61">
        <f>IF(K170="",0,IF(N(H170)&gt;0,H170,WORKDAY.INTL(MAX(p_start-1,SUMPRODUCT(MAX(($I$6:$I169=$I170)*$M$6:$M169))),1,p_weekend,p_holidays)))</f>
        <v>0.0</v>
      </c>
      <c r="M170" s="61">
        <f>IF(K170="",0,WORKDAY.INTL(L170,K170-1,p_weekend,p_holidays))</f>
        <v>0.0</v>
      </c>
      <c r="N170" s="62" t="str">
        <f>IF(OR(M170=0,N(F170)=0,G170="Terminé"),"",F170-M170)</f>
        <v/>
      </c>
      <c r="O170" s="58" t="str">
        <f>IF(B170="","",IF(G170="Annulé","Annulé",IF(G170="Terminé","Terminé",IF(M170=0,"À compléter",IF(N(F170)=0,"Sans échéance",IF(M170&gt;F170,"En retard",IF(F170-M170&lt;=p_margin,"Juste","À l'heure")))))))</f>
        <v/>
      </c>
      <c r="P170" s="55" t="n"/>
      <c r="Q170" s="63" t="str">
        <f>IF(OR(B170="",N(D170)&lt;=0),"",MIN(1,N(P170)/D170))</f>
        <v/>
      </c>
      <c r="R170" s="64" t="str">
        <f>IF(OR(J170="",ISNA(MATCH(I170,po_code,0))),"",ROUND(J170*N(INDEX(po_rate,MATCH(I170,po_code,0))),2))</f>
        <v/>
      </c>
      <c r="S170" s="58" t="str">
        <f>IF(AND(A170="",B170=""),"",IF(B170="","Référence manquante",IF(ISNA(MATCH($B170,art_ref,0)),"Référence inconnue",IF(N(D170)&lt;=0,"Quantité invalide",IF(AND(A170&lt;&gt;"",COUNTIF(of_num,A170)&gt;1),"N° OF en double",IF(G170="Annulé","OK",IF(I170="","Poste manquant (gamme)",IF(ISNA(MATCH(I170,po_code,0)),"Poste inconnu",IF(K170="","Capacité du poste nulle",IF(AND(H170&lt;&gt;"",N(H170)=0),"Début imposé invalide",IF(AND(N(H170)&gt;0,WORKDAY.INTL(H170-1,1,p_weekend,p_holidays)&lt;&gt;H170),"Début un jour chômé",IF(AND(N(H170)&gt;0,H170&lt;=SUMPRODUCT(MAX(($I$6:$I169=$I170)*$M$6:$M169))),"Chevauche l'OF précédent",IF(N(F170)=0,"Date de besoin manquante","OK")))))))))))))</f>
        <v/>
      </c>
      <c r="T170" s="65" t="str">
        <f>IF(K170="","",J170/K170)</f>
        <v/>
      </c>
      <c r="U170" s="66" t="str">
        <f>IF(OR(O170="En retard",O170="Juste"),COUNTIF($O$6:O170,"En retard")+COUNTIF($O$6:O170,"Juste"),"")</f>
        <v/>
      </c>
    </row>
    <row r="171">
      <c r="A171" s="53" t="n"/>
      <c r="B171" s="53" t="n"/>
      <c r="C171" s="54" t="str">
        <f>IF(B171="","",IFERROR(INDEX(art_des,MATCH($B171,art_ref,0)),"Référence inconnue"))</f>
        <v/>
      </c>
      <c r="D171" s="55" t="n"/>
      <c r="E171" s="53" t="n"/>
      <c r="F171" s="56" t="n"/>
      <c r="G171" s="57" t="n"/>
      <c r="H171" s="56" t="n"/>
      <c r="I171" s="58" t="str">
        <f>IF(B171="","",IFERROR(INDEX(art_poste,MATCH($B171,art_ref,0))&amp;"",""))</f>
        <v/>
      </c>
      <c r="J171" s="59" t="str">
        <f>IF(OR(B171="",G171="Annulé",N(D171)&lt;=0),"",IFERROR(ROUND(INDEX(art_setup,MATCH($B171,art_ref,0))+D171*INDEX(art_cycle,MATCH($B171,art_ref,0))/60,2),""))</f>
        <v/>
      </c>
      <c r="K171" s="60" t="str">
        <f>IF(J171="","",IFERROR(MAX(1,ROUNDUP(J171/INDEX(po_cap,MATCH(I171,po_code,0)),0)),""))</f>
        <v/>
      </c>
      <c r="L171" s="61">
        <f>IF(K171="",0,IF(N(H171)&gt;0,H171,WORKDAY.INTL(MAX(p_start-1,SUMPRODUCT(MAX(($I$6:$I170=$I171)*$M$6:$M170))),1,p_weekend,p_holidays)))</f>
        <v>0.0</v>
      </c>
      <c r="M171" s="61">
        <f>IF(K171="",0,WORKDAY.INTL(L171,K171-1,p_weekend,p_holidays))</f>
        <v>0.0</v>
      </c>
      <c r="N171" s="62" t="str">
        <f>IF(OR(M171=0,N(F171)=0,G171="Terminé"),"",F171-M171)</f>
        <v/>
      </c>
      <c r="O171" s="58" t="str">
        <f>IF(B171="","",IF(G171="Annulé","Annulé",IF(G171="Terminé","Terminé",IF(M171=0,"À compléter",IF(N(F171)=0,"Sans échéance",IF(M171&gt;F171,"En retard",IF(F171-M171&lt;=p_margin,"Juste","À l'heure")))))))</f>
        <v/>
      </c>
      <c r="P171" s="55" t="n"/>
      <c r="Q171" s="63" t="str">
        <f>IF(OR(B171="",N(D171)&lt;=0),"",MIN(1,N(P171)/D171))</f>
        <v/>
      </c>
      <c r="R171" s="64" t="str">
        <f>IF(OR(J171="",ISNA(MATCH(I171,po_code,0))),"",ROUND(J171*N(INDEX(po_rate,MATCH(I171,po_code,0))),2))</f>
        <v/>
      </c>
      <c r="S171" s="58" t="str">
        <f>IF(AND(A171="",B171=""),"",IF(B171="","Référence manquante",IF(ISNA(MATCH($B171,art_ref,0)),"Référence inconnue",IF(N(D171)&lt;=0,"Quantité invalide",IF(AND(A171&lt;&gt;"",COUNTIF(of_num,A171)&gt;1),"N° OF en double",IF(G171="Annulé","OK",IF(I171="","Poste manquant (gamme)",IF(ISNA(MATCH(I171,po_code,0)),"Poste inconnu",IF(K171="","Capacité du poste nulle",IF(AND(H171&lt;&gt;"",N(H171)=0),"Début imposé invalide",IF(AND(N(H171)&gt;0,WORKDAY.INTL(H171-1,1,p_weekend,p_holidays)&lt;&gt;H171),"Début un jour chômé",IF(AND(N(H171)&gt;0,H171&lt;=SUMPRODUCT(MAX(($I$6:$I170=$I171)*$M$6:$M170))),"Chevauche l'OF précédent",IF(N(F171)=0,"Date de besoin manquante","OK")))))))))))))</f>
        <v/>
      </c>
      <c r="T171" s="65" t="str">
        <f>IF(K171="","",J171/K171)</f>
        <v/>
      </c>
      <c r="U171" s="66" t="str">
        <f>IF(OR(O171="En retard",O171="Juste"),COUNTIF($O$6:O171,"En retard")+COUNTIF($O$6:O171,"Juste"),"")</f>
        <v/>
      </c>
    </row>
    <row r="172">
      <c r="A172" s="53" t="n"/>
      <c r="B172" s="53" t="n"/>
      <c r="C172" s="54" t="str">
        <f>IF(B172="","",IFERROR(INDEX(art_des,MATCH($B172,art_ref,0)),"Référence inconnue"))</f>
        <v/>
      </c>
      <c r="D172" s="55" t="n"/>
      <c r="E172" s="53" t="n"/>
      <c r="F172" s="56" t="n"/>
      <c r="G172" s="57" t="n"/>
      <c r="H172" s="56" t="n"/>
      <c r="I172" s="58" t="str">
        <f>IF(B172="","",IFERROR(INDEX(art_poste,MATCH($B172,art_ref,0))&amp;"",""))</f>
        <v/>
      </c>
      <c r="J172" s="59" t="str">
        <f>IF(OR(B172="",G172="Annulé",N(D172)&lt;=0),"",IFERROR(ROUND(INDEX(art_setup,MATCH($B172,art_ref,0))+D172*INDEX(art_cycle,MATCH($B172,art_ref,0))/60,2),""))</f>
        <v/>
      </c>
      <c r="K172" s="60" t="str">
        <f>IF(J172="","",IFERROR(MAX(1,ROUNDUP(J172/INDEX(po_cap,MATCH(I172,po_code,0)),0)),""))</f>
        <v/>
      </c>
      <c r="L172" s="61">
        <f>IF(K172="",0,IF(N(H172)&gt;0,H172,WORKDAY.INTL(MAX(p_start-1,SUMPRODUCT(MAX(($I$6:$I171=$I172)*$M$6:$M171))),1,p_weekend,p_holidays)))</f>
        <v>0.0</v>
      </c>
      <c r="M172" s="61">
        <f>IF(K172="",0,WORKDAY.INTL(L172,K172-1,p_weekend,p_holidays))</f>
        <v>0.0</v>
      </c>
      <c r="N172" s="62" t="str">
        <f>IF(OR(M172=0,N(F172)=0,G172="Terminé"),"",F172-M172)</f>
        <v/>
      </c>
      <c r="O172" s="58" t="str">
        <f>IF(B172="","",IF(G172="Annulé","Annulé",IF(G172="Terminé","Terminé",IF(M172=0,"À compléter",IF(N(F172)=0,"Sans échéance",IF(M172&gt;F172,"En retard",IF(F172-M172&lt;=p_margin,"Juste","À l'heure")))))))</f>
        <v/>
      </c>
      <c r="P172" s="55" t="n"/>
      <c r="Q172" s="63" t="str">
        <f>IF(OR(B172="",N(D172)&lt;=0),"",MIN(1,N(P172)/D172))</f>
        <v/>
      </c>
      <c r="R172" s="64" t="str">
        <f>IF(OR(J172="",ISNA(MATCH(I172,po_code,0))),"",ROUND(J172*N(INDEX(po_rate,MATCH(I172,po_code,0))),2))</f>
        <v/>
      </c>
      <c r="S172" s="58" t="str">
        <f>IF(AND(A172="",B172=""),"",IF(B172="","Référence manquante",IF(ISNA(MATCH($B172,art_ref,0)),"Référence inconnue",IF(N(D172)&lt;=0,"Quantité invalide",IF(AND(A172&lt;&gt;"",COUNTIF(of_num,A172)&gt;1),"N° OF en double",IF(G172="Annulé","OK",IF(I172="","Poste manquant (gamme)",IF(ISNA(MATCH(I172,po_code,0)),"Poste inconnu",IF(K172="","Capacité du poste nulle",IF(AND(H172&lt;&gt;"",N(H172)=0),"Début imposé invalide",IF(AND(N(H172)&gt;0,WORKDAY.INTL(H172-1,1,p_weekend,p_holidays)&lt;&gt;H172),"Début un jour chômé",IF(AND(N(H172)&gt;0,H172&lt;=SUMPRODUCT(MAX(($I$6:$I171=$I172)*$M$6:$M171))),"Chevauche l'OF précédent",IF(N(F172)=0,"Date de besoin manquante","OK")))))))))))))</f>
        <v/>
      </c>
      <c r="T172" s="65" t="str">
        <f>IF(K172="","",J172/K172)</f>
        <v/>
      </c>
      <c r="U172" s="66" t="str">
        <f>IF(OR(O172="En retard",O172="Juste"),COUNTIF($O$6:O172,"En retard")+COUNTIF($O$6:O172,"Juste"),"")</f>
        <v/>
      </c>
    </row>
    <row r="173">
      <c r="A173" s="53" t="n"/>
      <c r="B173" s="53" t="n"/>
      <c r="C173" s="54" t="str">
        <f>IF(B173="","",IFERROR(INDEX(art_des,MATCH($B173,art_ref,0)),"Référence inconnue"))</f>
        <v/>
      </c>
      <c r="D173" s="55" t="n"/>
      <c r="E173" s="53" t="n"/>
      <c r="F173" s="56" t="n"/>
      <c r="G173" s="57" t="n"/>
      <c r="H173" s="56" t="n"/>
      <c r="I173" s="58" t="str">
        <f>IF(B173="","",IFERROR(INDEX(art_poste,MATCH($B173,art_ref,0))&amp;"",""))</f>
        <v/>
      </c>
      <c r="J173" s="59" t="str">
        <f>IF(OR(B173="",G173="Annulé",N(D173)&lt;=0),"",IFERROR(ROUND(INDEX(art_setup,MATCH($B173,art_ref,0))+D173*INDEX(art_cycle,MATCH($B173,art_ref,0))/60,2),""))</f>
        <v/>
      </c>
      <c r="K173" s="60" t="str">
        <f>IF(J173="","",IFERROR(MAX(1,ROUNDUP(J173/INDEX(po_cap,MATCH(I173,po_code,0)),0)),""))</f>
        <v/>
      </c>
      <c r="L173" s="61">
        <f>IF(K173="",0,IF(N(H173)&gt;0,H173,WORKDAY.INTL(MAX(p_start-1,SUMPRODUCT(MAX(($I$6:$I172=$I173)*$M$6:$M172))),1,p_weekend,p_holidays)))</f>
        <v>0.0</v>
      </c>
      <c r="M173" s="61">
        <f>IF(K173="",0,WORKDAY.INTL(L173,K173-1,p_weekend,p_holidays))</f>
        <v>0.0</v>
      </c>
      <c r="N173" s="62" t="str">
        <f>IF(OR(M173=0,N(F173)=0,G173="Terminé"),"",F173-M173)</f>
        <v/>
      </c>
      <c r="O173" s="58" t="str">
        <f>IF(B173="","",IF(G173="Annulé","Annulé",IF(G173="Terminé","Terminé",IF(M173=0,"À compléter",IF(N(F173)=0,"Sans échéance",IF(M173&gt;F173,"En retard",IF(F173-M173&lt;=p_margin,"Juste","À l'heure")))))))</f>
        <v/>
      </c>
      <c r="P173" s="55" t="n"/>
      <c r="Q173" s="63" t="str">
        <f>IF(OR(B173="",N(D173)&lt;=0),"",MIN(1,N(P173)/D173))</f>
        <v/>
      </c>
      <c r="R173" s="64" t="str">
        <f>IF(OR(J173="",ISNA(MATCH(I173,po_code,0))),"",ROUND(J173*N(INDEX(po_rate,MATCH(I173,po_code,0))),2))</f>
        <v/>
      </c>
      <c r="S173" s="58" t="str">
        <f>IF(AND(A173="",B173=""),"",IF(B173="","Référence manquante",IF(ISNA(MATCH($B173,art_ref,0)),"Référence inconnue",IF(N(D173)&lt;=0,"Quantité invalide",IF(AND(A173&lt;&gt;"",COUNTIF(of_num,A173)&gt;1),"N° OF en double",IF(G173="Annulé","OK",IF(I173="","Poste manquant (gamme)",IF(ISNA(MATCH(I173,po_code,0)),"Poste inconnu",IF(K173="","Capacité du poste nulle",IF(AND(H173&lt;&gt;"",N(H173)=0),"Début imposé invalide",IF(AND(N(H173)&gt;0,WORKDAY.INTL(H173-1,1,p_weekend,p_holidays)&lt;&gt;H173),"Début un jour chômé",IF(AND(N(H173)&gt;0,H173&lt;=SUMPRODUCT(MAX(($I$6:$I172=$I173)*$M$6:$M172))),"Chevauche l'OF précédent",IF(N(F173)=0,"Date de besoin manquante","OK")))))))))))))</f>
        <v/>
      </c>
      <c r="T173" s="65" t="str">
        <f>IF(K173="","",J173/K173)</f>
        <v/>
      </c>
      <c r="U173" s="66" t="str">
        <f>IF(OR(O173="En retard",O173="Juste"),COUNTIF($O$6:O173,"En retard")+COUNTIF($O$6:O173,"Juste"),"")</f>
        <v/>
      </c>
    </row>
    <row r="174">
      <c r="A174" s="53" t="n"/>
      <c r="B174" s="53" t="n"/>
      <c r="C174" s="54" t="str">
        <f>IF(B174="","",IFERROR(INDEX(art_des,MATCH($B174,art_ref,0)),"Référence inconnue"))</f>
        <v/>
      </c>
      <c r="D174" s="55" t="n"/>
      <c r="E174" s="53" t="n"/>
      <c r="F174" s="56" t="n"/>
      <c r="G174" s="57" t="n"/>
      <c r="H174" s="56" t="n"/>
      <c r="I174" s="58" t="str">
        <f>IF(B174="","",IFERROR(INDEX(art_poste,MATCH($B174,art_ref,0))&amp;"",""))</f>
        <v/>
      </c>
      <c r="J174" s="59" t="str">
        <f>IF(OR(B174="",G174="Annulé",N(D174)&lt;=0),"",IFERROR(ROUND(INDEX(art_setup,MATCH($B174,art_ref,0))+D174*INDEX(art_cycle,MATCH($B174,art_ref,0))/60,2),""))</f>
        <v/>
      </c>
      <c r="K174" s="60" t="str">
        <f>IF(J174="","",IFERROR(MAX(1,ROUNDUP(J174/INDEX(po_cap,MATCH(I174,po_code,0)),0)),""))</f>
        <v/>
      </c>
      <c r="L174" s="61">
        <f>IF(K174="",0,IF(N(H174)&gt;0,H174,WORKDAY.INTL(MAX(p_start-1,SUMPRODUCT(MAX(($I$6:$I173=$I174)*$M$6:$M173))),1,p_weekend,p_holidays)))</f>
        <v>0.0</v>
      </c>
      <c r="M174" s="61">
        <f>IF(K174="",0,WORKDAY.INTL(L174,K174-1,p_weekend,p_holidays))</f>
        <v>0.0</v>
      </c>
      <c r="N174" s="62" t="str">
        <f>IF(OR(M174=0,N(F174)=0,G174="Terminé"),"",F174-M174)</f>
        <v/>
      </c>
      <c r="O174" s="58" t="str">
        <f>IF(B174="","",IF(G174="Annulé","Annulé",IF(G174="Terminé","Terminé",IF(M174=0,"À compléter",IF(N(F174)=0,"Sans échéance",IF(M174&gt;F174,"En retard",IF(F174-M174&lt;=p_margin,"Juste","À l'heure")))))))</f>
        <v/>
      </c>
      <c r="P174" s="55" t="n"/>
      <c r="Q174" s="63" t="str">
        <f>IF(OR(B174="",N(D174)&lt;=0),"",MIN(1,N(P174)/D174))</f>
        <v/>
      </c>
      <c r="R174" s="64" t="str">
        <f>IF(OR(J174="",ISNA(MATCH(I174,po_code,0))),"",ROUND(J174*N(INDEX(po_rate,MATCH(I174,po_code,0))),2))</f>
        <v/>
      </c>
      <c r="S174" s="58" t="str">
        <f>IF(AND(A174="",B174=""),"",IF(B174="","Référence manquante",IF(ISNA(MATCH($B174,art_ref,0)),"Référence inconnue",IF(N(D174)&lt;=0,"Quantité invalide",IF(AND(A174&lt;&gt;"",COUNTIF(of_num,A174)&gt;1),"N° OF en double",IF(G174="Annulé","OK",IF(I174="","Poste manquant (gamme)",IF(ISNA(MATCH(I174,po_code,0)),"Poste inconnu",IF(K174="","Capacité du poste nulle",IF(AND(H174&lt;&gt;"",N(H174)=0),"Début imposé invalide",IF(AND(N(H174)&gt;0,WORKDAY.INTL(H174-1,1,p_weekend,p_holidays)&lt;&gt;H174),"Début un jour chômé",IF(AND(N(H174)&gt;0,H174&lt;=SUMPRODUCT(MAX(($I$6:$I173=$I174)*$M$6:$M173))),"Chevauche l'OF précédent",IF(N(F174)=0,"Date de besoin manquante","OK")))))))))))))</f>
        <v/>
      </c>
      <c r="T174" s="65" t="str">
        <f>IF(K174="","",J174/K174)</f>
        <v/>
      </c>
      <c r="U174" s="66" t="str">
        <f>IF(OR(O174="En retard",O174="Juste"),COUNTIF($O$6:O174,"En retard")+COUNTIF($O$6:O174,"Juste"),"")</f>
        <v/>
      </c>
    </row>
    <row r="175">
      <c r="A175" s="53" t="n"/>
      <c r="B175" s="53" t="n"/>
      <c r="C175" s="54" t="str">
        <f>IF(B175="","",IFERROR(INDEX(art_des,MATCH($B175,art_ref,0)),"Référence inconnue"))</f>
        <v/>
      </c>
      <c r="D175" s="55" t="n"/>
      <c r="E175" s="53" t="n"/>
      <c r="F175" s="56" t="n"/>
      <c r="G175" s="57" t="n"/>
      <c r="H175" s="56" t="n"/>
      <c r="I175" s="58" t="str">
        <f>IF(B175="","",IFERROR(INDEX(art_poste,MATCH($B175,art_ref,0))&amp;"",""))</f>
        <v/>
      </c>
      <c r="J175" s="59" t="str">
        <f>IF(OR(B175="",G175="Annulé",N(D175)&lt;=0),"",IFERROR(ROUND(INDEX(art_setup,MATCH($B175,art_ref,0))+D175*INDEX(art_cycle,MATCH($B175,art_ref,0))/60,2),""))</f>
        <v/>
      </c>
      <c r="K175" s="60" t="str">
        <f>IF(J175="","",IFERROR(MAX(1,ROUNDUP(J175/INDEX(po_cap,MATCH(I175,po_code,0)),0)),""))</f>
        <v/>
      </c>
      <c r="L175" s="61">
        <f>IF(K175="",0,IF(N(H175)&gt;0,H175,WORKDAY.INTL(MAX(p_start-1,SUMPRODUCT(MAX(($I$6:$I174=$I175)*$M$6:$M174))),1,p_weekend,p_holidays)))</f>
        <v>0.0</v>
      </c>
      <c r="M175" s="61">
        <f>IF(K175="",0,WORKDAY.INTL(L175,K175-1,p_weekend,p_holidays))</f>
        <v>0.0</v>
      </c>
      <c r="N175" s="62" t="str">
        <f>IF(OR(M175=0,N(F175)=0,G175="Terminé"),"",F175-M175)</f>
        <v/>
      </c>
      <c r="O175" s="58" t="str">
        <f>IF(B175="","",IF(G175="Annulé","Annulé",IF(G175="Terminé","Terminé",IF(M175=0,"À compléter",IF(N(F175)=0,"Sans échéance",IF(M175&gt;F175,"En retard",IF(F175-M175&lt;=p_margin,"Juste","À l'heure")))))))</f>
        <v/>
      </c>
      <c r="P175" s="55" t="n"/>
      <c r="Q175" s="63" t="str">
        <f>IF(OR(B175="",N(D175)&lt;=0),"",MIN(1,N(P175)/D175))</f>
        <v/>
      </c>
      <c r="R175" s="64" t="str">
        <f>IF(OR(J175="",ISNA(MATCH(I175,po_code,0))),"",ROUND(J175*N(INDEX(po_rate,MATCH(I175,po_code,0))),2))</f>
        <v/>
      </c>
      <c r="S175" s="58" t="str">
        <f>IF(AND(A175="",B175=""),"",IF(B175="","Référence manquante",IF(ISNA(MATCH($B175,art_ref,0)),"Référence inconnue",IF(N(D175)&lt;=0,"Quantité invalide",IF(AND(A175&lt;&gt;"",COUNTIF(of_num,A175)&gt;1),"N° OF en double",IF(G175="Annulé","OK",IF(I175="","Poste manquant (gamme)",IF(ISNA(MATCH(I175,po_code,0)),"Poste inconnu",IF(K175="","Capacité du poste nulle",IF(AND(H175&lt;&gt;"",N(H175)=0),"Début imposé invalide",IF(AND(N(H175)&gt;0,WORKDAY.INTL(H175-1,1,p_weekend,p_holidays)&lt;&gt;H175),"Début un jour chômé",IF(AND(N(H175)&gt;0,H175&lt;=SUMPRODUCT(MAX(($I$6:$I174=$I175)*$M$6:$M174))),"Chevauche l'OF précédent",IF(N(F175)=0,"Date de besoin manquante","OK")))))))))))))</f>
        <v/>
      </c>
      <c r="T175" s="65" t="str">
        <f>IF(K175="","",J175/K175)</f>
        <v/>
      </c>
      <c r="U175" s="66" t="str">
        <f>IF(OR(O175="En retard",O175="Juste"),COUNTIF($O$6:O175,"En retard")+COUNTIF($O$6:O175,"Juste"),"")</f>
        <v/>
      </c>
    </row>
    <row r="176">
      <c r="A176" s="53" t="n"/>
      <c r="B176" s="53" t="n"/>
      <c r="C176" s="54" t="str">
        <f>IF(B176="","",IFERROR(INDEX(art_des,MATCH($B176,art_ref,0)),"Référence inconnue"))</f>
        <v/>
      </c>
      <c r="D176" s="55" t="n"/>
      <c r="E176" s="53" t="n"/>
      <c r="F176" s="56" t="n"/>
      <c r="G176" s="57" t="n"/>
      <c r="H176" s="56" t="n"/>
      <c r="I176" s="58" t="str">
        <f>IF(B176="","",IFERROR(INDEX(art_poste,MATCH($B176,art_ref,0))&amp;"",""))</f>
        <v/>
      </c>
      <c r="J176" s="59" t="str">
        <f>IF(OR(B176="",G176="Annulé",N(D176)&lt;=0),"",IFERROR(ROUND(INDEX(art_setup,MATCH($B176,art_ref,0))+D176*INDEX(art_cycle,MATCH($B176,art_ref,0))/60,2),""))</f>
        <v/>
      </c>
      <c r="K176" s="60" t="str">
        <f>IF(J176="","",IFERROR(MAX(1,ROUNDUP(J176/INDEX(po_cap,MATCH(I176,po_code,0)),0)),""))</f>
        <v/>
      </c>
      <c r="L176" s="61">
        <f>IF(K176="",0,IF(N(H176)&gt;0,H176,WORKDAY.INTL(MAX(p_start-1,SUMPRODUCT(MAX(($I$6:$I175=$I176)*$M$6:$M175))),1,p_weekend,p_holidays)))</f>
        <v>0.0</v>
      </c>
      <c r="M176" s="61">
        <f>IF(K176="",0,WORKDAY.INTL(L176,K176-1,p_weekend,p_holidays))</f>
        <v>0.0</v>
      </c>
      <c r="N176" s="62" t="str">
        <f>IF(OR(M176=0,N(F176)=0,G176="Terminé"),"",F176-M176)</f>
        <v/>
      </c>
      <c r="O176" s="58" t="str">
        <f>IF(B176="","",IF(G176="Annulé","Annulé",IF(G176="Terminé","Terminé",IF(M176=0,"À compléter",IF(N(F176)=0,"Sans échéance",IF(M176&gt;F176,"En retard",IF(F176-M176&lt;=p_margin,"Juste","À l'heure")))))))</f>
        <v/>
      </c>
      <c r="P176" s="55" t="n"/>
      <c r="Q176" s="63" t="str">
        <f>IF(OR(B176="",N(D176)&lt;=0),"",MIN(1,N(P176)/D176))</f>
        <v/>
      </c>
      <c r="R176" s="64" t="str">
        <f>IF(OR(J176="",ISNA(MATCH(I176,po_code,0))),"",ROUND(J176*N(INDEX(po_rate,MATCH(I176,po_code,0))),2))</f>
        <v/>
      </c>
      <c r="S176" s="58" t="str">
        <f>IF(AND(A176="",B176=""),"",IF(B176="","Référence manquante",IF(ISNA(MATCH($B176,art_ref,0)),"Référence inconnue",IF(N(D176)&lt;=0,"Quantité invalide",IF(AND(A176&lt;&gt;"",COUNTIF(of_num,A176)&gt;1),"N° OF en double",IF(G176="Annulé","OK",IF(I176="","Poste manquant (gamme)",IF(ISNA(MATCH(I176,po_code,0)),"Poste inconnu",IF(K176="","Capacité du poste nulle",IF(AND(H176&lt;&gt;"",N(H176)=0),"Début imposé invalide",IF(AND(N(H176)&gt;0,WORKDAY.INTL(H176-1,1,p_weekend,p_holidays)&lt;&gt;H176),"Début un jour chômé",IF(AND(N(H176)&gt;0,H176&lt;=SUMPRODUCT(MAX(($I$6:$I175=$I176)*$M$6:$M175))),"Chevauche l'OF précédent",IF(N(F176)=0,"Date de besoin manquante","OK")))))))))))))</f>
        <v/>
      </c>
      <c r="T176" s="65" t="str">
        <f>IF(K176="","",J176/K176)</f>
        <v/>
      </c>
      <c r="U176" s="66" t="str">
        <f>IF(OR(O176="En retard",O176="Juste"),COUNTIF($O$6:O176,"En retard")+COUNTIF($O$6:O176,"Juste"),"")</f>
        <v/>
      </c>
    </row>
    <row r="177">
      <c r="A177" s="53" t="n"/>
      <c r="B177" s="53" t="n"/>
      <c r="C177" s="54" t="str">
        <f>IF(B177="","",IFERROR(INDEX(art_des,MATCH($B177,art_ref,0)),"Référence inconnue"))</f>
        <v/>
      </c>
      <c r="D177" s="55" t="n"/>
      <c r="E177" s="53" t="n"/>
      <c r="F177" s="56" t="n"/>
      <c r="G177" s="57" t="n"/>
      <c r="H177" s="56" t="n"/>
      <c r="I177" s="58" t="str">
        <f>IF(B177="","",IFERROR(INDEX(art_poste,MATCH($B177,art_ref,0))&amp;"",""))</f>
        <v/>
      </c>
      <c r="J177" s="59" t="str">
        <f>IF(OR(B177="",G177="Annulé",N(D177)&lt;=0),"",IFERROR(ROUND(INDEX(art_setup,MATCH($B177,art_ref,0))+D177*INDEX(art_cycle,MATCH($B177,art_ref,0))/60,2),""))</f>
        <v/>
      </c>
      <c r="K177" s="60" t="str">
        <f>IF(J177="","",IFERROR(MAX(1,ROUNDUP(J177/INDEX(po_cap,MATCH(I177,po_code,0)),0)),""))</f>
        <v/>
      </c>
      <c r="L177" s="61">
        <f>IF(K177="",0,IF(N(H177)&gt;0,H177,WORKDAY.INTL(MAX(p_start-1,SUMPRODUCT(MAX(($I$6:$I176=$I177)*$M$6:$M176))),1,p_weekend,p_holidays)))</f>
        <v>0.0</v>
      </c>
      <c r="M177" s="61">
        <f>IF(K177="",0,WORKDAY.INTL(L177,K177-1,p_weekend,p_holidays))</f>
        <v>0.0</v>
      </c>
      <c r="N177" s="62" t="str">
        <f>IF(OR(M177=0,N(F177)=0,G177="Terminé"),"",F177-M177)</f>
        <v/>
      </c>
      <c r="O177" s="58" t="str">
        <f>IF(B177="","",IF(G177="Annulé","Annulé",IF(G177="Terminé","Terminé",IF(M177=0,"À compléter",IF(N(F177)=0,"Sans échéance",IF(M177&gt;F177,"En retard",IF(F177-M177&lt;=p_margin,"Juste","À l'heure")))))))</f>
        <v/>
      </c>
      <c r="P177" s="55" t="n"/>
      <c r="Q177" s="63" t="str">
        <f>IF(OR(B177="",N(D177)&lt;=0),"",MIN(1,N(P177)/D177))</f>
        <v/>
      </c>
      <c r="R177" s="64" t="str">
        <f>IF(OR(J177="",ISNA(MATCH(I177,po_code,0))),"",ROUND(J177*N(INDEX(po_rate,MATCH(I177,po_code,0))),2))</f>
        <v/>
      </c>
      <c r="S177" s="58" t="str">
        <f>IF(AND(A177="",B177=""),"",IF(B177="","Référence manquante",IF(ISNA(MATCH($B177,art_ref,0)),"Référence inconnue",IF(N(D177)&lt;=0,"Quantité invalide",IF(AND(A177&lt;&gt;"",COUNTIF(of_num,A177)&gt;1),"N° OF en double",IF(G177="Annulé","OK",IF(I177="","Poste manquant (gamme)",IF(ISNA(MATCH(I177,po_code,0)),"Poste inconnu",IF(K177="","Capacité du poste nulle",IF(AND(H177&lt;&gt;"",N(H177)=0),"Début imposé invalide",IF(AND(N(H177)&gt;0,WORKDAY.INTL(H177-1,1,p_weekend,p_holidays)&lt;&gt;H177),"Début un jour chômé",IF(AND(N(H177)&gt;0,H177&lt;=SUMPRODUCT(MAX(($I$6:$I176=$I177)*$M$6:$M176))),"Chevauche l'OF précédent",IF(N(F177)=0,"Date de besoin manquante","OK")))))))))))))</f>
        <v/>
      </c>
      <c r="T177" s="65" t="str">
        <f>IF(K177="","",J177/K177)</f>
        <v/>
      </c>
      <c r="U177" s="66" t="str">
        <f>IF(OR(O177="En retard",O177="Juste"),COUNTIF($O$6:O177,"En retard")+COUNTIF($O$6:O177,"Juste"),"")</f>
        <v/>
      </c>
    </row>
    <row r="178">
      <c r="A178" s="53" t="n"/>
      <c r="B178" s="53" t="n"/>
      <c r="C178" s="54" t="str">
        <f>IF(B178="","",IFERROR(INDEX(art_des,MATCH($B178,art_ref,0)),"Référence inconnue"))</f>
        <v/>
      </c>
      <c r="D178" s="55" t="n"/>
      <c r="E178" s="53" t="n"/>
      <c r="F178" s="56" t="n"/>
      <c r="G178" s="57" t="n"/>
      <c r="H178" s="56" t="n"/>
      <c r="I178" s="58" t="str">
        <f>IF(B178="","",IFERROR(INDEX(art_poste,MATCH($B178,art_ref,0))&amp;"",""))</f>
        <v/>
      </c>
      <c r="J178" s="59" t="str">
        <f>IF(OR(B178="",G178="Annulé",N(D178)&lt;=0),"",IFERROR(ROUND(INDEX(art_setup,MATCH($B178,art_ref,0))+D178*INDEX(art_cycle,MATCH($B178,art_ref,0))/60,2),""))</f>
        <v/>
      </c>
      <c r="K178" s="60" t="str">
        <f>IF(J178="","",IFERROR(MAX(1,ROUNDUP(J178/INDEX(po_cap,MATCH(I178,po_code,0)),0)),""))</f>
        <v/>
      </c>
      <c r="L178" s="61">
        <f>IF(K178="",0,IF(N(H178)&gt;0,H178,WORKDAY.INTL(MAX(p_start-1,SUMPRODUCT(MAX(($I$6:$I177=$I178)*$M$6:$M177))),1,p_weekend,p_holidays)))</f>
        <v>0.0</v>
      </c>
      <c r="M178" s="61">
        <f>IF(K178="",0,WORKDAY.INTL(L178,K178-1,p_weekend,p_holidays))</f>
        <v>0.0</v>
      </c>
      <c r="N178" s="62" t="str">
        <f>IF(OR(M178=0,N(F178)=0,G178="Terminé"),"",F178-M178)</f>
        <v/>
      </c>
      <c r="O178" s="58" t="str">
        <f>IF(B178="","",IF(G178="Annulé","Annulé",IF(G178="Terminé","Terminé",IF(M178=0,"À compléter",IF(N(F178)=0,"Sans échéance",IF(M178&gt;F178,"En retard",IF(F178-M178&lt;=p_margin,"Juste","À l'heure")))))))</f>
        <v/>
      </c>
      <c r="P178" s="55" t="n"/>
      <c r="Q178" s="63" t="str">
        <f>IF(OR(B178="",N(D178)&lt;=0),"",MIN(1,N(P178)/D178))</f>
        <v/>
      </c>
      <c r="R178" s="64" t="str">
        <f>IF(OR(J178="",ISNA(MATCH(I178,po_code,0))),"",ROUND(J178*N(INDEX(po_rate,MATCH(I178,po_code,0))),2))</f>
        <v/>
      </c>
      <c r="S178" s="58" t="str">
        <f>IF(AND(A178="",B178=""),"",IF(B178="","Référence manquante",IF(ISNA(MATCH($B178,art_ref,0)),"Référence inconnue",IF(N(D178)&lt;=0,"Quantité invalide",IF(AND(A178&lt;&gt;"",COUNTIF(of_num,A178)&gt;1),"N° OF en double",IF(G178="Annulé","OK",IF(I178="","Poste manquant (gamme)",IF(ISNA(MATCH(I178,po_code,0)),"Poste inconnu",IF(K178="","Capacité du poste nulle",IF(AND(H178&lt;&gt;"",N(H178)=0),"Début imposé invalide",IF(AND(N(H178)&gt;0,WORKDAY.INTL(H178-1,1,p_weekend,p_holidays)&lt;&gt;H178),"Début un jour chômé",IF(AND(N(H178)&gt;0,H178&lt;=SUMPRODUCT(MAX(($I$6:$I177=$I178)*$M$6:$M177))),"Chevauche l'OF précédent",IF(N(F178)=0,"Date de besoin manquante","OK")))))))))))))</f>
        <v/>
      </c>
      <c r="T178" s="65" t="str">
        <f>IF(K178="","",J178/K178)</f>
        <v/>
      </c>
      <c r="U178" s="66" t="str">
        <f>IF(OR(O178="En retard",O178="Juste"),COUNTIF($O$6:O178,"En retard")+COUNTIF($O$6:O178,"Juste"),"")</f>
        <v/>
      </c>
    </row>
    <row r="179">
      <c r="A179" s="53" t="n"/>
      <c r="B179" s="53" t="n"/>
      <c r="C179" s="54" t="str">
        <f>IF(B179="","",IFERROR(INDEX(art_des,MATCH($B179,art_ref,0)),"Référence inconnue"))</f>
        <v/>
      </c>
      <c r="D179" s="55" t="n"/>
      <c r="E179" s="53" t="n"/>
      <c r="F179" s="56" t="n"/>
      <c r="G179" s="57" t="n"/>
      <c r="H179" s="56" t="n"/>
      <c r="I179" s="58" t="str">
        <f>IF(B179="","",IFERROR(INDEX(art_poste,MATCH($B179,art_ref,0))&amp;"",""))</f>
        <v/>
      </c>
      <c r="J179" s="59" t="str">
        <f>IF(OR(B179="",G179="Annulé",N(D179)&lt;=0),"",IFERROR(ROUND(INDEX(art_setup,MATCH($B179,art_ref,0))+D179*INDEX(art_cycle,MATCH($B179,art_ref,0))/60,2),""))</f>
        <v/>
      </c>
      <c r="K179" s="60" t="str">
        <f>IF(J179="","",IFERROR(MAX(1,ROUNDUP(J179/INDEX(po_cap,MATCH(I179,po_code,0)),0)),""))</f>
        <v/>
      </c>
      <c r="L179" s="61">
        <f>IF(K179="",0,IF(N(H179)&gt;0,H179,WORKDAY.INTL(MAX(p_start-1,SUMPRODUCT(MAX(($I$6:$I178=$I179)*$M$6:$M178))),1,p_weekend,p_holidays)))</f>
        <v>0.0</v>
      </c>
      <c r="M179" s="61">
        <f>IF(K179="",0,WORKDAY.INTL(L179,K179-1,p_weekend,p_holidays))</f>
        <v>0.0</v>
      </c>
      <c r="N179" s="62" t="str">
        <f>IF(OR(M179=0,N(F179)=0,G179="Terminé"),"",F179-M179)</f>
        <v/>
      </c>
      <c r="O179" s="58" t="str">
        <f>IF(B179="","",IF(G179="Annulé","Annulé",IF(G179="Terminé","Terminé",IF(M179=0,"À compléter",IF(N(F179)=0,"Sans échéance",IF(M179&gt;F179,"En retard",IF(F179-M179&lt;=p_margin,"Juste","À l'heure")))))))</f>
        <v/>
      </c>
      <c r="P179" s="55" t="n"/>
      <c r="Q179" s="63" t="str">
        <f>IF(OR(B179="",N(D179)&lt;=0),"",MIN(1,N(P179)/D179))</f>
        <v/>
      </c>
      <c r="R179" s="64" t="str">
        <f>IF(OR(J179="",ISNA(MATCH(I179,po_code,0))),"",ROUND(J179*N(INDEX(po_rate,MATCH(I179,po_code,0))),2))</f>
        <v/>
      </c>
      <c r="S179" s="58" t="str">
        <f>IF(AND(A179="",B179=""),"",IF(B179="","Référence manquante",IF(ISNA(MATCH($B179,art_ref,0)),"Référence inconnue",IF(N(D179)&lt;=0,"Quantité invalide",IF(AND(A179&lt;&gt;"",COUNTIF(of_num,A179)&gt;1),"N° OF en double",IF(G179="Annulé","OK",IF(I179="","Poste manquant (gamme)",IF(ISNA(MATCH(I179,po_code,0)),"Poste inconnu",IF(K179="","Capacité du poste nulle",IF(AND(H179&lt;&gt;"",N(H179)=0),"Début imposé invalide",IF(AND(N(H179)&gt;0,WORKDAY.INTL(H179-1,1,p_weekend,p_holidays)&lt;&gt;H179),"Début un jour chômé",IF(AND(N(H179)&gt;0,H179&lt;=SUMPRODUCT(MAX(($I$6:$I178=$I179)*$M$6:$M178))),"Chevauche l'OF précédent",IF(N(F179)=0,"Date de besoin manquante","OK")))))))))))))</f>
        <v/>
      </c>
      <c r="T179" s="65" t="str">
        <f>IF(K179="","",J179/K179)</f>
        <v/>
      </c>
      <c r="U179" s="66" t="str">
        <f>IF(OR(O179="En retard",O179="Juste"),COUNTIF($O$6:O179,"En retard")+COUNTIF($O$6:O179,"Juste"),"")</f>
        <v/>
      </c>
    </row>
    <row r="180">
      <c r="A180" s="53" t="n"/>
      <c r="B180" s="53" t="n"/>
      <c r="C180" s="54" t="str">
        <f>IF(B180="","",IFERROR(INDEX(art_des,MATCH($B180,art_ref,0)),"Référence inconnue"))</f>
        <v/>
      </c>
      <c r="D180" s="55" t="n"/>
      <c r="E180" s="53" t="n"/>
      <c r="F180" s="56" t="n"/>
      <c r="G180" s="57" t="n"/>
      <c r="H180" s="56" t="n"/>
      <c r="I180" s="58" t="str">
        <f>IF(B180="","",IFERROR(INDEX(art_poste,MATCH($B180,art_ref,0))&amp;"",""))</f>
        <v/>
      </c>
      <c r="J180" s="59" t="str">
        <f>IF(OR(B180="",G180="Annulé",N(D180)&lt;=0),"",IFERROR(ROUND(INDEX(art_setup,MATCH($B180,art_ref,0))+D180*INDEX(art_cycle,MATCH($B180,art_ref,0))/60,2),""))</f>
        <v/>
      </c>
      <c r="K180" s="60" t="str">
        <f>IF(J180="","",IFERROR(MAX(1,ROUNDUP(J180/INDEX(po_cap,MATCH(I180,po_code,0)),0)),""))</f>
        <v/>
      </c>
      <c r="L180" s="61">
        <f>IF(K180="",0,IF(N(H180)&gt;0,H180,WORKDAY.INTL(MAX(p_start-1,SUMPRODUCT(MAX(($I$6:$I179=$I180)*$M$6:$M179))),1,p_weekend,p_holidays)))</f>
        <v>0.0</v>
      </c>
      <c r="M180" s="61">
        <f>IF(K180="",0,WORKDAY.INTL(L180,K180-1,p_weekend,p_holidays))</f>
        <v>0.0</v>
      </c>
      <c r="N180" s="62" t="str">
        <f>IF(OR(M180=0,N(F180)=0,G180="Terminé"),"",F180-M180)</f>
        <v/>
      </c>
      <c r="O180" s="58" t="str">
        <f>IF(B180="","",IF(G180="Annulé","Annulé",IF(G180="Terminé","Terminé",IF(M180=0,"À compléter",IF(N(F180)=0,"Sans échéance",IF(M180&gt;F180,"En retard",IF(F180-M180&lt;=p_margin,"Juste","À l'heure")))))))</f>
        <v/>
      </c>
      <c r="P180" s="55" t="n"/>
      <c r="Q180" s="63" t="str">
        <f>IF(OR(B180="",N(D180)&lt;=0),"",MIN(1,N(P180)/D180))</f>
        <v/>
      </c>
      <c r="R180" s="64" t="str">
        <f>IF(OR(J180="",ISNA(MATCH(I180,po_code,0))),"",ROUND(J180*N(INDEX(po_rate,MATCH(I180,po_code,0))),2))</f>
        <v/>
      </c>
      <c r="S180" s="58" t="str">
        <f>IF(AND(A180="",B180=""),"",IF(B180="","Référence manquante",IF(ISNA(MATCH($B180,art_ref,0)),"Référence inconnue",IF(N(D180)&lt;=0,"Quantité invalide",IF(AND(A180&lt;&gt;"",COUNTIF(of_num,A180)&gt;1),"N° OF en double",IF(G180="Annulé","OK",IF(I180="","Poste manquant (gamme)",IF(ISNA(MATCH(I180,po_code,0)),"Poste inconnu",IF(K180="","Capacité du poste nulle",IF(AND(H180&lt;&gt;"",N(H180)=0),"Début imposé invalide",IF(AND(N(H180)&gt;0,WORKDAY.INTL(H180-1,1,p_weekend,p_holidays)&lt;&gt;H180),"Début un jour chômé",IF(AND(N(H180)&gt;0,H180&lt;=SUMPRODUCT(MAX(($I$6:$I179=$I180)*$M$6:$M179))),"Chevauche l'OF précédent",IF(N(F180)=0,"Date de besoin manquante","OK")))))))))))))</f>
        <v/>
      </c>
      <c r="T180" s="65" t="str">
        <f>IF(K180="","",J180/K180)</f>
        <v/>
      </c>
      <c r="U180" s="66" t="str">
        <f>IF(OR(O180="En retard",O180="Juste"),COUNTIF($O$6:O180,"En retard")+COUNTIF($O$6:O180,"Juste"),"")</f>
        <v/>
      </c>
    </row>
    <row r="181">
      <c r="A181" s="53" t="n"/>
      <c r="B181" s="53" t="n"/>
      <c r="C181" s="54" t="str">
        <f>IF(B181="","",IFERROR(INDEX(art_des,MATCH($B181,art_ref,0)),"Référence inconnue"))</f>
        <v/>
      </c>
      <c r="D181" s="55" t="n"/>
      <c r="E181" s="53" t="n"/>
      <c r="F181" s="56" t="n"/>
      <c r="G181" s="57" t="n"/>
      <c r="H181" s="56" t="n"/>
      <c r="I181" s="58" t="str">
        <f>IF(B181="","",IFERROR(INDEX(art_poste,MATCH($B181,art_ref,0))&amp;"",""))</f>
        <v/>
      </c>
      <c r="J181" s="59" t="str">
        <f>IF(OR(B181="",G181="Annulé",N(D181)&lt;=0),"",IFERROR(ROUND(INDEX(art_setup,MATCH($B181,art_ref,0))+D181*INDEX(art_cycle,MATCH($B181,art_ref,0))/60,2),""))</f>
        <v/>
      </c>
      <c r="K181" s="60" t="str">
        <f>IF(J181="","",IFERROR(MAX(1,ROUNDUP(J181/INDEX(po_cap,MATCH(I181,po_code,0)),0)),""))</f>
        <v/>
      </c>
      <c r="L181" s="61">
        <f>IF(K181="",0,IF(N(H181)&gt;0,H181,WORKDAY.INTL(MAX(p_start-1,SUMPRODUCT(MAX(($I$6:$I180=$I181)*$M$6:$M180))),1,p_weekend,p_holidays)))</f>
        <v>0.0</v>
      </c>
      <c r="M181" s="61">
        <f>IF(K181="",0,WORKDAY.INTL(L181,K181-1,p_weekend,p_holidays))</f>
        <v>0.0</v>
      </c>
      <c r="N181" s="62" t="str">
        <f>IF(OR(M181=0,N(F181)=0,G181="Terminé"),"",F181-M181)</f>
        <v/>
      </c>
      <c r="O181" s="58" t="str">
        <f>IF(B181="","",IF(G181="Annulé","Annulé",IF(G181="Terminé","Terminé",IF(M181=0,"À compléter",IF(N(F181)=0,"Sans échéance",IF(M181&gt;F181,"En retard",IF(F181-M181&lt;=p_margin,"Juste","À l'heure")))))))</f>
        <v/>
      </c>
      <c r="P181" s="55" t="n"/>
      <c r="Q181" s="63" t="str">
        <f>IF(OR(B181="",N(D181)&lt;=0),"",MIN(1,N(P181)/D181))</f>
        <v/>
      </c>
      <c r="R181" s="64" t="str">
        <f>IF(OR(J181="",ISNA(MATCH(I181,po_code,0))),"",ROUND(J181*N(INDEX(po_rate,MATCH(I181,po_code,0))),2))</f>
        <v/>
      </c>
      <c r="S181" s="58" t="str">
        <f>IF(AND(A181="",B181=""),"",IF(B181="","Référence manquante",IF(ISNA(MATCH($B181,art_ref,0)),"Référence inconnue",IF(N(D181)&lt;=0,"Quantité invalide",IF(AND(A181&lt;&gt;"",COUNTIF(of_num,A181)&gt;1),"N° OF en double",IF(G181="Annulé","OK",IF(I181="","Poste manquant (gamme)",IF(ISNA(MATCH(I181,po_code,0)),"Poste inconnu",IF(K181="","Capacité du poste nulle",IF(AND(H181&lt;&gt;"",N(H181)=0),"Début imposé invalide",IF(AND(N(H181)&gt;0,WORKDAY.INTL(H181-1,1,p_weekend,p_holidays)&lt;&gt;H181),"Début un jour chômé",IF(AND(N(H181)&gt;0,H181&lt;=SUMPRODUCT(MAX(($I$6:$I180=$I181)*$M$6:$M180))),"Chevauche l'OF précédent",IF(N(F181)=0,"Date de besoin manquante","OK")))))))))))))</f>
        <v/>
      </c>
      <c r="T181" s="65" t="str">
        <f>IF(K181="","",J181/K181)</f>
        <v/>
      </c>
      <c r="U181" s="66" t="str">
        <f>IF(OR(O181="En retard",O181="Juste"),COUNTIF($O$6:O181,"En retard")+COUNTIF($O$6:O181,"Juste"),"")</f>
        <v/>
      </c>
    </row>
    <row r="182">
      <c r="A182" s="53" t="n"/>
      <c r="B182" s="53" t="n"/>
      <c r="C182" s="54" t="str">
        <f>IF(B182="","",IFERROR(INDEX(art_des,MATCH($B182,art_ref,0)),"Référence inconnue"))</f>
        <v/>
      </c>
      <c r="D182" s="55" t="n"/>
      <c r="E182" s="53" t="n"/>
      <c r="F182" s="56" t="n"/>
      <c r="G182" s="57" t="n"/>
      <c r="H182" s="56" t="n"/>
      <c r="I182" s="58" t="str">
        <f>IF(B182="","",IFERROR(INDEX(art_poste,MATCH($B182,art_ref,0))&amp;"",""))</f>
        <v/>
      </c>
      <c r="J182" s="59" t="str">
        <f>IF(OR(B182="",G182="Annulé",N(D182)&lt;=0),"",IFERROR(ROUND(INDEX(art_setup,MATCH($B182,art_ref,0))+D182*INDEX(art_cycle,MATCH($B182,art_ref,0))/60,2),""))</f>
        <v/>
      </c>
      <c r="K182" s="60" t="str">
        <f>IF(J182="","",IFERROR(MAX(1,ROUNDUP(J182/INDEX(po_cap,MATCH(I182,po_code,0)),0)),""))</f>
        <v/>
      </c>
      <c r="L182" s="61">
        <f>IF(K182="",0,IF(N(H182)&gt;0,H182,WORKDAY.INTL(MAX(p_start-1,SUMPRODUCT(MAX(($I$6:$I181=$I182)*$M$6:$M181))),1,p_weekend,p_holidays)))</f>
        <v>0.0</v>
      </c>
      <c r="M182" s="61">
        <f>IF(K182="",0,WORKDAY.INTL(L182,K182-1,p_weekend,p_holidays))</f>
        <v>0.0</v>
      </c>
      <c r="N182" s="62" t="str">
        <f>IF(OR(M182=0,N(F182)=0,G182="Terminé"),"",F182-M182)</f>
        <v/>
      </c>
      <c r="O182" s="58" t="str">
        <f>IF(B182="","",IF(G182="Annulé","Annulé",IF(G182="Terminé","Terminé",IF(M182=0,"À compléter",IF(N(F182)=0,"Sans échéance",IF(M182&gt;F182,"En retard",IF(F182-M182&lt;=p_margin,"Juste","À l'heure")))))))</f>
        <v/>
      </c>
      <c r="P182" s="55" t="n"/>
      <c r="Q182" s="63" t="str">
        <f>IF(OR(B182="",N(D182)&lt;=0),"",MIN(1,N(P182)/D182))</f>
        <v/>
      </c>
      <c r="R182" s="64" t="str">
        <f>IF(OR(J182="",ISNA(MATCH(I182,po_code,0))),"",ROUND(J182*N(INDEX(po_rate,MATCH(I182,po_code,0))),2))</f>
        <v/>
      </c>
      <c r="S182" s="58" t="str">
        <f>IF(AND(A182="",B182=""),"",IF(B182="","Référence manquante",IF(ISNA(MATCH($B182,art_ref,0)),"Référence inconnue",IF(N(D182)&lt;=0,"Quantité invalide",IF(AND(A182&lt;&gt;"",COUNTIF(of_num,A182)&gt;1),"N° OF en double",IF(G182="Annulé","OK",IF(I182="","Poste manquant (gamme)",IF(ISNA(MATCH(I182,po_code,0)),"Poste inconnu",IF(K182="","Capacité du poste nulle",IF(AND(H182&lt;&gt;"",N(H182)=0),"Début imposé invalide",IF(AND(N(H182)&gt;0,WORKDAY.INTL(H182-1,1,p_weekend,p_holidays)&lt;&gt;H182),"Début un jour chômé",IF(AND(N(H182)&gt;0,H182&lt;=SUMPRODUCT(MAX(($I$6:$I181=$I182)*$M$6:$M181))),"Chevauche l'OF précédent",IF(N(F182)=0,"Date de besoin manquante","OK")))))))))))))</f>
        <v/>
      </c>
      <c r="T182" s="65" t="str">
        <f>IF(K182="","",J182/K182)</f>
        <v/>
      </c>
      <c r="U182" s="66" t="str">
        <f>IF(OR(O182="En retard",O182="Juste"),COUNTIF($O$6:O182,"En retard")+COUNTIF($O$6:O182,"Juste"),"")</f>
        <v/>
      </c>
    </row>
    <row r="183">
      <c r="A183" s="53" t="n"/>
      <c r="B183" s="53" t="n"/>
      <c r="C183" s="54" t="str">
        <f>IF(B183="","",IFERROR(INDEX(art_des,MATCH($B183,art_ref,0)),"Référence inconnue"))</f>
        <v/>
      </c>
      <c r="D183" s="55" t="n"/>
      <c r="E183" s="53" t="n"/>
      <c r="F183" s="56" t="n"/>
      <c r="G183" s="57" t="n"/>
      <c r="H183" s="56" t="n"/>
      <c r="I183" s="58" t="str">
        <f>IF(B183="","",IFERROR(INDEX(art_poste,MATCH($B183,art_ref,0))&amp;"",""))</f>
        <v/>
      </c>
      <c r="J183" s="59" t="str">
        <f>IF(OR(B183="",G183="Annulé",N(D183)&lt;=0),"",IFERROR(ROUND(INDEX(art_setup,MATCH($B183,art_ref,0))+D183*INDEX(art_cycle,MATCH($B183,art_ref,0))/60,2),""))</f>
        <v/>
      </c>
      <c r="K183" s="60" t="str">
        <f>IF(J183="","",IFERROR(MAX(1,ROUNDUP(J183/INDEX(po_cap,MATCH(I183,po_code,0)),0)),""))</f>
        <v/>
      </c>
      <c r="L183" s="61">
        <f>IF(K183="",0,IF(N(H183)&gt;0,H183,WORKDAY.INTL(MAX(p_start-1,SUMPRODUCT(MAX(($I$6:$I182=$I183)*$M$6:$M182))),1,p_weekend,p_holidays)))</f>
        <v>0.0</v>
      </c>
      <c r="M183" s="61">
        <f>IF(K183="",0,WORKDAY.INTL(L183,K183-1,p_weekend,p_holidays))</f>
        <v>0.0</v>
      </c>
      <c r="N183" s="62" t="str">
        <f>IF(OR(M183=0,N(F183)=0,G183="Terminé"),"",F183-M183)</f>
        <v/>
      </c>
      <c r="O183" s="58" t="str">
        <f>IF(B183="","",IF(G183="Annulé","Annulé",IF(G183="Terminé","Terminé",IF(M183=0,"À compléter",IF(N(F183)=0,"Sans échéance",IF(M183&gt;F183,"En retard",IF(F183-M183&lt;=p_margin,"Juste","À l'heure")))))))</f>
        <v/>
      </c>
      <c r="P183" s="55" t="n"/>
      <c r="Q183" s="63" t="str">
        <f>IF(OR(B183="",N(D183)&lt;=0),"",MIN(1,N(P183)/D183))</f>
        <v/>
      </c>
      <c r="R183" s="64" t="str">
        <f>IF(OR(J183="",ISNA(MATCH(I183,po_code,0))),"",ROUND(J183*N(INDEX(po_rate,MATCH(I183,po_code,0))),2))</f>
        <v/>
      </c>
      <c r="S183" s="58" t="str">
        <f>IF(AND(A183="",B183=""),"",IF(B183="","Référence manquante",IF(ISNA(MATCH($B183,art_ref,0)),"Référence inconnue",IF(N(D183)&lt;=0,"Quantité invalide",IF(AND(A183&lt;&gt;"",COUNTIF(of_num,A183)&gt;1),"N° OF en double",IF(G183="Annulé","OK",IF(I183="","Poste manquant (gamme)",IF(ISNA(MATCH(I183,po_code,0)),"Poste inconnu",IF(K183="","Capacité du poste nulle",IF(AND(H183&lt;&gt;"",N(H183)=0),"Début imposé invalide",IF(AND(N(H183)&gt;0,WORKDAY.INTL(H183-1,1,p_weekend,p_holidays)&lt;&gt;H183),"Début un jour chômé",IF(AND(N(H183)&gt;0,H183&lt;=SUMPRODUCT(MAX(($I$6:$I182=$I183)*$M$6:$M182))),"Chevauche l'OF précédent",IF(N(F183)=0,"Date de besoin manquante","OK")))))))))))))</f>
        <v/>
      </c>
      <c r="T183" s="65" t="str">
        <f>IF(K183="","",J183/K183)</f>
        <v/>
      </c>
      <c r="U183" s="66" t="str">
        <f>IF(OR(O183="En retard",O183="Juste"),COUNTIF($O$6:O183,"En retard")+COUNTIF($O$6:O183,"Juste"),"")</f>
        <v/>
      </c>
    </row>
    <row r="184">
      <c r="A184" s="53" t="n"/>
      <c r="B184" s="53" t="n"/>
      <c r="C184" s="54" t="str">
        <f>IF(B184="","",IFERROR(INDEX(art_des,MATCH($B184,art_ref,0)),"Référence inconnue"))</f>
        <v/>
      </c>
      <c r="D184" s="55" t="n"/>
      <c r="E184" s="53" t="n"/>
      <c r="F184" s="56" t="n"/>
      <c r="G184" s="57" t="n"/>
      <c r="H184" s="56" t="n"/>
      <c r="I184" s="58" t="str">
        <f>IF(B184="","",IFERROR(INDEX(art_poste,MATCH($B184,art_ref,0))&amp;"",""))</f>
        <v/>
      </c>
      <c r="J184" s="59" t="str">
        <f>IF(OR(B184="",G184="Annulé",N(D184)&lt;=0),"",IFERROR(ROUND(INDEX(art_setup,MATCH($B184,art_ref,0))+D184*INDEX(art_cycle,MATCH($B184,art_ref,0))/60,2),""))</f>
        <v/>
      </c>
      <c r="K184" s="60" t="str">
        <f>IF(J184="","",IFERROR(MAX(1,ROUNDUP(J184/INDEX(po_cap,MATCH(I184,po_code,0)),0)),""))</f>
        <v/>
      </c>
      <c r="L184" s="61">
        <f>IF(K184="",0,IF(N(H184)&gt;0,H184,WORKDAY.INTL(MAX(p_start-1,SUMPRODUCT(MAX(($I$6:$I183=$I184)*$M$6:$M183))),1,p_weekend,p_holidays)))</f>
        <v>0.0</v>
      </c>
      <c r="M184" s="61">
        <f>IF(K184="",0,WORKDAY.INTL(L184,K184-1,p_weekend,p_holidays))</f>
        <v>0.0</v>
      </c>
      <c r="N184" s="62" t="str">
        <f>IF(OR(M184=0,N(F184)=0,G184="Terminé"),"",F184-M184)</f>
        <v/>
      </c>
      <c r="O184" s="58" t="str">
        <f>IF(B184="","",IF(G184="Annulé","Annulé",IF(G184="Terminé","Terminé",IF(M184=0,"À compléter",IF(N(F184)=0,"Sans échéance",IF(M184&gt;F184,"En retard",IF(F184-M184&lt;=p_margin,"Juste","À l'heure")))))))</f>
        <v/>
      </c>
      <c r="P184" s="55" t="n"/>
      <c r="Q184" s="63" t="str">
        <f>IF(OR(B184="",N(D184)&lt;=0),"",MIN(1,N(P184)/D184))</f>
        <v/>
      </c>
      <c r="R184" s="64" t="str">
        <f>IF(OR(J184="",ISNA(MATCH(I184,po_code,0))),"",ROUND(J184*N(INDEX(po_rate,MATCH(I184,po_code,0))),2))</f>
        <v/>
      </c>
      <c r="S184" s="58" t="str">
        <f>IF(AND(A184="",B184=""),"",IF(B184="","Référence manquante",IF(ISNA(MATCH($B184,art_ref,0)),"Référence inconnue",IF(N(D184)&lt;=0,"Quantité invalide",IF(AND(A184&lt;&gt;"",COUNTIF(of_num,A184)&gt;1),"N° OF en double",IF(G184="Annulé","OK",IF(I184="","Poste manquant (gamme)",IF(ISNA(MATCH(I184,po_code,0)),"Poste inconnu",IF(K184="","Capacité du poste nulle",IF(AND(H184&lt;&gt;"",N(H184)=0),"Début imposé invalide",IF(AND(N(H184)&gt;0,WORKDAY.INTL(H184-1,1,p_weekend,p_holidays)&lt;&gt;H184),"Début un jour chômé",IF(AND(N(H184)&gt;0,H184&lt;=SUMPRODUCT(MAX(($I$6:$I183=$I184)*$M$6:$M183))),"Chevauche l'OF précédent",IF(N(F184)=0,"Date de besoin manquante","OK")))))))))))))</f>
        <v/>
      </c>
      <c r="T184" s="65" t="str">
        <f>IF(K184="","",J184/K184)</f>
        <v/>
      </c>
      <c r="U184" s="66" t="str">
        <f>IF(OR(O184="En retard",O184="Juste"),COUNTIF($O$6:O184,"En retard")+COUNTIF($O$6:O184,"Juste"),"")</f>
        <v/>
      </c>
    </row>
    <row r="185">
      <c r="A185" s="53" t="n"/>
      <c r="B185" s="53" t="n"/>
      <c r="C185" s="54" t="str">
        <f>IF(B185="","",IFERROR(INDEX(art_des,MATCH($B185,art_ref,0)),"Référence inconnue"))</f>
        <v/>
      </c>
      <c r="D185" s="55" t="n"/>
      <c r="E185" s="53" t="n"/>
      <c r="F185" s="56" t="n"/>
      <c r="G185" s="57" t="n"/>
      <c r="H185" s="56" t="n"/>
      <c r="I185" s="58" t="str">
        <f>IF(B185="","",IFERROR(INDEX(art_poste,MATCH($B185,art_ref,0))&amp;"",""))</f>
        <v/>
      </c>
      <c r="J185" s="59" t="str">
        <f>IF(OR(B185="",G185="Annulé",N(D185)&lt;=0),"",IFERROR(ROUND(INDEX(art_setup,MATCH($B185,art_ref,0))+D185*INDEX(art_cycle,MATCH($B185,art_ref,0))/60,2),""))</f>
        <v/>
      </c>
      <c r="K185" s="60" t="str">
        <f>IF(J185="","",IFERROR(MAX(1,ROUNDUP(J185/INDEX(po_cap,MATCH(I185,po_code,0)),0)),""))</f>
        <v/>
      </c>
      <c r="L185" s="61">
        <f>IF(K185="",0,IF(N(H185)&gt;0,H185,WORKDAY.INTL(MAX(p_start-1,SUMPRODUCT(MAX(($I$6:$I184=$I185)*$M$6:$M184))),1,p_weekend,p_holidays)))</f>
        <v>0.0</v>
      </c>
      <c r="M185" s="61">
        <f>IF(K185="",0,WORKDAY.INTL(L185,K185-1,p_weekend,p_holidays))</f>
        <v>0.0</v>
      </c>
      <c r="N185" s="62" t="str">
        <f>IF(OR(M185=0,N(F185)=0,G185="Terminé"),"",F185-M185)</f>
        <v/>
      </c>
      <c r="O185" s="58" t="str">
        <f>IF(B185="","",IF(G185="Annulé","Annulé",IF(G185="Terminé","Terminé",IF(M185=0,"À compléter",IF(N(F185)=0,"Sans échéance",IF(M185&gt;F185,"En retard",IF(F185-M185&lt;=p_margin,"Juste","À l'heure")))))))</f>
        <v/>
      </c>
      <c r="P185" s="55" t="n"/>
      <c r="Q185" s="63" t="str">
        <f>IF(OR(B185="",N(D185)&lt;=0),"",MIN(1,N(P185)/D185))</f>
        <v/>
      </c>
      <c r="R185" s="64" t="str">
        <f>IF(OR(J185="",ISNA(MATCH(I185,po_code,0))),"",ROUND(J185*N(INDEX(po_rate,MATCH(I185,po_code,0))),2))</f>
        <v/>
      </c>
      <c r="S185" s="58" t="str">
        <f>IF(AND(A185="",B185=""),"",IF(B185="","Référence manquante",IF(ISNA(MATCH($B185,art_ref,0)),"Référence inconnue",IF(N(D185)&lt;=0,"Quantité invalide",IF(AND(A185&lt;&gt;"",COUNTIF(of_num,A185)&gt;1),"N° OF en double",IF(G185="Annulé","OK",IF(I185="","Poste manquant (gamme)",IF(ISNA(MATCH(I185,po_code,0)),"Poste inconnu",IF(K185="","Capacité du poste nulle",IF(AND(H185&lt;&gt;"",N(H185)=0),"Début imposé invalide",IF(AND(N(H185)&gt;0,WORKDAY.INTL(H185-1,1,p_weekend,p_holidays)&lt;&gt;H185),"Début un jour chômé",IF(AND(N(H185)&gt;0,H185&lt;=SUMPRODUCT(MAX(($I$6:$I184=$I185)*$M$6:$M184))),"Chevauche l'OF précédent",IF(N(F185)=0,"Date de besoin manquante","OK")))))))))))))</f>
        <v/>
      </c>
      <c r="T185" s="65" t="str">
        <f>IF(K185="","",J185/K185)</f>
        <v/>
      </c>
      <c r="U185" s="66" t="str">
        <f>IF(OR(O185="En retard",O185="Juste"),COUNTIF($O$6:O185,"En retard")+COUNTIF($O$6:O185,"Juste"),"")</f>
        <v/>
      </c>
    </row>
    <row r="186">
      <c r="A186" s="53" t="n"/>
      <c r="B186" s="53" t="n"/>
      <c r="C186" s="54" t="str">
        <f>IF(B186="","",IFERROR(INDEX(art_des,MATCH($B186,art_ref,0)),"Référence inconnue"))</f>
        <v/>
      </c>
      <c r="D186" s="55" t="n"/>
      <c r="E186" s="53" t="n"/>
      <c r="F186" s="56" t="n"/>
      <c r="G186" s="57" t="n"/>
      <c r="H186" s="56" t="n"/>
      <c r="I186" s="58" t="str">
        <f>IF(B186="","",IFERROR(INDEX(art_poste,MATCH($B186,art_ref,0))&amp;"",""))</f>
        <v/>
      </c>
      <c r="J186" s="59" t="str">
        <f>IF(OR(B186="",G186="Annulé",N(D186)&lt;=0),"",IFERROR(ROUND(INDEX(art_setup,MATCH($B186,art_ref,0))+D186*INDEX(art_cycle,MATCH($B186,art_ref,0))/60,2),""))</f>
        <v/>
      </c>
      <c r="K186" s="60" t="str">
        <f>IF(J186="","",IFERROR(MAX(1,ROUNDUP(J186/INDEX(po_cap,MATCH(I186,po_code,0)),0)),""))</f>
        <v/>
      </c>
      <c r="L186" s="61">
        <f>IF(K186="",0,IF(N(H186)&gt;0,H186,WORKDAY.INTL(MAX(p_start-1,SUMPRODUCT(MAX(($I$6:$I185=$I186)*$M$6:$M185))),1,p_weekend,p_holidays)))</f>
        <v>0.0</v>
      </c>
      <c r="M186" s="61">
        <f>IF(K186="",0,WORKDAY.INTL(L186,K186-1,p_weekend,p_holidays))</f>
        <v>0.0</v>
      </c>
      <c r="N186" s="62" t="str">
        <f>IF(OR(M186=0,N(F186)=0,G186="Terminé"),"",F186-M186)</f>
        <v/>
      </c>
      <c r="O186" s="58" t="str">
        <f>IF(B186="","",IF(G186="Annulé","Annulé",IF(G186="Terminé","Terminé",IF(M186=0,"À compléter",IF(N(F186)=0,"Sans échéance",IF(M186&gt;F186,"En retard",IF(F186-M186&lt;=p_margin,"Juste","À l'heure")))))))</f>
        <v/>
      </c>
      <c r="P186" s="55" t="n"/>
      <c r="Q186" s="63" t="str">
        <f>IF(OR(B186="",N(D186)&lt;=0),"",MIN(1,N(P186)/D186))</f>
        <v/>
      </c>
      <c r="R186" s="64" t="str">
        <f>IF(OR(J186="",ISNA(MATCH(I186,po_code,0))),"",ROUND(J186*N(INDEX(po_rate,MATCH(I186,po_code,0))),2))</f>
        <v/>
      </c>
      <c r="S186" s="58" t="str">
        <f>IF(AND(A186="",B186=""),"",IF(B186="","Référence manquante",IF(ISNA(MATCH($B186,art_ref,0)),"Référence inconnue",IF(N(D186)&lt;=0,"Quantité invalide",IF(AND(A186&lt;&gt;"",COUNTIF(of_num,A186)&gt;1),"N° OF en double",IF(G186="Annulé","OK",IF(I186="","Poste manquant (gamme)",IF(ISNA(MATCH(I186,po_code,0)),"Poste inconnu",IF(K186="","Capacité du poste nulle",IF(AND(H186&lt;&gt;"",N(H186)=0),"Début imposé invalide",IF(AND(N(H186)&gt;0,WORKDAY.INTL(H186-1,1,p_weekend,p_holidays)&lt;&gt;H186),"Début un jour chômé",IF(AND(N(H186)&gt;0,H186&lt;=SUMPRODUCT(MAX(($I$6:$I185=$I186)*$M$6:$M185))),"Chevauche l'OF précédent",IF(N(F186)=0,"Date de besoin manquante","OK")))))))))))))</f>
        <v/>
      </c>
      <c r="T186" s="65" t="str">
        <f>IF(K186="","",J186/K186)</f>
        <v/>
      </c>
      <c r="U186" s="66" t="str">
        <f>IF(OR(O186="En retard",O186="Juste"),COUNTIF($O$6:O186,"En retard")+COUNTIF($O$6:O186,"Juste"),"")</f>
        <v/>
      </c>
    </row>
    <row r="187">
      <c r="A187" s="53" t="n"/>
      <c r="B187" s="53" t="n"/>
      <c r="C187" s="54" t="str">
        <f>IF(B187="","",IFERROR(INDEX(art_des,MATCH($B187,art_ref,0)),"Référence inconnue"))</f>
        <v/>
      </c>
      <c r="D187" s="55" t="n"/>
      <c r="E187" s="53" t="n"/>
      <c r="F187" s="56" t="n"/>
      <c r="G187" s="57" t="n"/>
      <c r="H187" s="56" t="n"/>
      <c r="I187" s="58" t="str">
        <f>IF(B187="","",IFERROR(INDEX(art_poste,MATCH($B187,art_ref,0))&amp;"",""))</f>
        <v/>
      </c>
      <c r="J187" s="59" t="str">
        <f>IF(OR(B187="",G187="Annulé",N(D187)&lt;=0),"",IFERROR(ROUND(INDEX(art_setup,MATCH($B187,art_ref,0))+D187*INDEX(art_cycle,MATCH($B187,art_ref,0))/60,2),""))</f>
        <v/>
      </c>
      <c r="K187" s="60" t="str">
        <f>IF(J187="","",IFERROR(MAX(1,ROUNDUP(J187/INDEX(po_cap,MATCH(I187,po_code,0)),0)),""))</f>
        <v/>
      </c>
      <c r="L187" s="61">
        <f>IF(K187="",0,IF(N(H187)&gt;0,H187,WORKDAY.INTL(MAX(p_start-1,SUMPRODUCT(MAX(($I$6:$I186=$I187)*$M$6:$M186))),1,p_weekend,p_holidays)))</f>
        <v>0.0</v>
      </c>
      <c r="M187" s="61">
        <f>IF(K187="",0,WORKDAY.INTL(L187,K187-1,p_weekend,p_holidays))</f>
        <v>0.0</v>
      </c>
      <c r="N187" s="62" t="str">
        <f>IF(OR(M187=0,N(F187)=0,G187="Terminé"),"",F187-M187)</f>
        <v/>
      </c>
      <c r="O187" s="58" t="str">
        <f>IF(B187="","",IF(G187="Annulé","Annulé",IF(G187="Terminé","Terminé",IF(M187=0,"À compléter",IF(N(F187)=0,"Sans échéance",IF(M187&gt;F187,"En retard",IF(F187-M187&lt;=p_margin,"Juste","À l'heure")))))))</f>
        <v/>
      </c>
      <c r="P187" s="55" t="n"/>
      <c r="Q187" s="63" t="str">
        <f>IF(OR(B187="",N(D187)&lt;=0),"",MIN(1,N(P187)/D187))</f>
        <v/>
      </c>
      <c r="R187" s="64" t="str">
        <f>IF(OR(J187="",ISNA(MATCH(I187,po_code,0))),"",ROUND(J187*N(INDEX(po_rate,MATCH(I187,po_code,0))),2))</f>
        <v/>
      </c>
      <c r="S187" s="58" t="str">
        <f>IF(AND(A187="",B187=""),"",IF(B187="","Référence manquante",IF(ISNA(MATCH($B187,art_ref,0)),"Référence inconnue",IF(N(D187)&lt;=0,"Quantité invalide",IF(AND(A187&lt;&gt;"",COUNTIF(of_num,A187)&gt;1),"N° OF en double",IF(G187="Annulé","OK",IF(I187="","Poste manquant (gamme)",IF(ISNA(MATCH(I187,po_code,0)),"Poste inconnu",IF(K187="","Capacité du poste nulle",IF(AND(H187&lt;&gt;"",N(H187)=0),"Début imposé invalide",IF(AND(N(H187)&gt;0,WORKDAY.INTL(H187-1,1,p_weekend,p_holidays)&lt;&gt;H187),"Début un jour chômé",IF(AND(N(H187)&gt;0,H187&lt;=SUMPRODUCT(MAX(($I$6:$I186=$I187)*$M$6:$M186))),"Chevauche l'OF précédent",IF(N(F187)=0,"Date de besoin manquante","OK")))))))))))))</f>
        <v/>
      </c>
      <c r="T187" s="65" t="str">
        <f>IF(K187="","",J187/K187)</f>
        <v/>
      </c>
      <c r="U187" s="66" t="str">
        <f>IF(OR(O187="En retard",O187="Juste"),COUNTIF($O$6:O187,"En retard")+COUNTIF($O$6:O187,"Juste"),"")</f>
        <v/>
      </c>
    </row>
    <row r="188">
      <c r="A188" s="53" t="n"/>
      <c r="B188" s="53" t="n"/>
      <c r="C188" s="54" t="str">
        <f>IF(B188="","",IFERROR(INDEX(art_des,MATCH($B188,art_ref,0)),"Référence inconnue"))</f>
        <v/>
      </c>
      <c r="D188" s="55" t="n"/>
      <c r="E188" s="53" t="n"/>
      <c r="F188" s="56" t="n"/>
      <c r="G188" s="57" t="n"/>
      <c r="H188" s="56" t="n"/>
      <c r="I188" s="58" t="str">
        <f>IF(B188="","",IFERROR(INDEX(art_poste,MATCH($B188,art_ref,0))&amp;"",""))</f>
        <v/>
      </c>
      <c r="J188" s="59" t="str">
        <f>IF(OR(B188="",G188="Annulé",N(D188)&lt;=0),"",IFERROR(ROUND(INDEX(art_setup,MATCH($B188,art_ref,0))+D188*INDEX(art_cycle,MATCH($B188,art_ref,0))/60,2),""))</f>
        <v/>
      </c>
      <c r="K188" s="60" t="str">
        <f>IF(J188="","",IFERROR(MAX(1,ROUNDUP(J188/INDEX(po_cap,MATCH(I188,po_code,0)),0)),""))</f>
        <v/>
      </c>
      <c r="L188" s="61">
        <f>IF(K188="",0,IF(N(H188)&gt;0,H188,WORKDAY.INTL(MAX(p_start-1,SUMPRODUCT(MAX(($I$6:$I187=$I188)*$M$6:$M187))),1,p_weekend,p_holidays)))</f>
        <v>0.0</v>
      </c>
      <c r="M188" s="61">
        <f>IF(K188="",0,WORKDAY.INTL(L188,K188-1,p_weekend,p_holidays))</f>
        <v>0.0</v>
      </c>
      <c r="N188" s="62" t="str">
        <f>IF(OR(M188=0,N(F188)=0,G188="Terminé"),"",F188-M188)</f>
        <v/>
      </c>
      <c r="O188" s="58" t="str">
        <f>IF(B188="","",IF(G188="Annulé","Annulé",IF(G188="Terminé","Terminé",IF(M188=0,"À compléter",IF(N(F188)=0,"Sans échéance",IF(M188&gt;F188,"En retard",IF(F188-M188&lt;=p_margin,"Juste","À l'heure")))))))</f>
        <v/>
      </c>
      <c r="P188" s="55" t="n"/>
      <c r="Q188" s="63" t="str">
        <f>IF(OR(B188="",N(D188)&lt;=0),"",MIN(1,N(P188)/D188))</f>
        <v/>
      </c>
      <c r="R188" s="64" t="str">
        <f>IF(OR(J188="",ISNA(MATCH(I188,po_code,0))),"",ROUND(J188*N(INDEX(po_rate,MATCH(I188,po_code,0))),2))</f>
        <v/>
      </c>
      <c r="S188" s="58" t="str">
        <f>IF(AND(A188="",B188=""),"",IF(B188="","Référence manquante",IF(ISNA(MATCH($B188,art_ref,0)),"Référence inconnue",IF(N(D188)&lt;=0,"Quantité invalide",IF(AND(A188&lt;&gt;"",COUNTIF(of_num,A188)&gt;1),"N° OF en double",IF(G188="Annulé","OK",IF(I188="","Poste manquant (gamme)",IF(ISNA(MATCH(I188,po_code,0)),"Poste inconnu",IF(K188="","Capacité du poste nulle",IF(AND(H188&lt;&gt;"",N(H188)=0),"Début imposé invalide",IF(AND(N(H188)&gt;0,WORKDAY.INTL(H188-1,1,p_weekend,p_holidays)&lt;&gt;H188),"Début un jour chômé",IF(AND(N(H188)&gt;0,H188&lt;=SUMPRODUCT(MAX(($I$6:$I187=$I188)*$M$6:$M187))),"Chevauche l'OF précédent",IF(N(F188)=0,"Date de besoin manquante","OK")))))))))))))</f>
        <v/>
      </c>
      <c r="T188" s="65" t="str">
        <f>IF(K188="","",J188/K188)</f>
        <v/>
      </c>
      <c r="U188" s="66" t="str">
        <f>IF(OR(O188="En retard",O188="Juste"),COUNTIF($O$6:O188,"En retard")+COUNTIF($O$6:O188,"Juste"),"")</f>
        <v/>
      </c>
    </row>
    <row r="189">
      <c r="A189" s="53" t="n"/>
      <c r="B189" s="53" t="n"/>
      <c r="C189" s="54" t="str">
        <f>IF(B189="","",IFERROR(INDEX(art_des,MATCH($B189,art_ref,0)),"Référence inconnue"))</f>
        <v/>
      </c>
      <c r="D189" s="55" t="n"/>
      <c r="E189" s="53" t="n"/>
      <c r="F189" s="56" t="n"/>
      <c r="G189" s="57" t="n"/>
      <c r="H189" s="56" t="n"/>
      <c r="I189" s="58" t="str">
        <f>IF(B189="","",IFERROR(INDEX(art_poste,MATCH($B189,art_ref,0))&amp;"",""))</f>
        <v/>
      </c>
      <c r="J189" s="59" t="str">
        <f>IF(OR(B189="",G189="Annulé",N(D189)&lt;=0),"",IFERROR(ROUND(INDEX(art_setup,MATCH($B189,art_ref,0))+D189*INDEX(art_cycle,MATCH($B189,art_ref,0))/60,2),""))</f>
        <v/>
      </c>
      <c r="K189" s="60" t="str">
        <f>IF(J189="","",IFERROR(MAX(1,ROUNDUP(J189/INDEX(po_cap,MATCH(I189,po_code,0)),0)),""))</f>
        <v/>
      </c>
      <c r="L189" s="61">
        <f>IF(K189="",0,IF(N(H189)&gt;0,H189,WORKDAY.INTL(MAX(p_start-1,SUMPRODUCT(MAX(($I$6:$I188=$I189)*$M$6:$M188))),1,p_weekend,p_holidays)))</f>
        <v>0.0</v>
      </c>
      <c r="M189" s="61">
        <f>IF(K189="",0,WORKDAY.INTL(L189,K189-1,p_weekend,p_holidays))</f>
        <v>0.0</v>
      </c>
      <c r="N189" s="62" t="str">
        <f>IF(OR(M189=0,N(F189)=0,G189="Terminé"),"",F189-M189)</f>
        <v/>
      </c>
      <c r="O189" s="58" t="str">
        <f>IF(B189="","",IF(G189="Annulé","Annulé",IF(G189="Terminé","Terminé",IF(M189=0,"À compléter",IF(N(F189)=0,"Sans échéance",IF(M189&gt;F189,"En retard",IF(F189-M189&lt;=p_margin,"Juste","À l'heure")))))))</f>
        <v/>
      </c>
      <c r="P189" s="55" t="n"/>
      <c r="Q189" s="63" t="str">
        <f>IF(OR(B189="",N(D189)&lt;=0),"",MIN(1,N(P189)/D189))</f>
        <v/>
      </c>
      <c r="R189" s="64" t="str">
        <f>IF(OR(J189="",ISNA(MATCH(I189,po_code,0))),"",ROUND(J189*N(INDEX(po_rate,MATCH(I189,po_code,0))),2))</f>
        <v/>
      </c>
      <c r="S189" s="58" t="str">
        <f>IF(AND(A189="",B189=""),"",IF(B189="","Référence manquante",IF(ISNA(MATCH($B189,art_ref,0)),"Référence inconnue",IF(N(D189)&lt;=0,"Quantité invalide",IF(AND(A189&lt;&gt;"",COUNTIF(of_num,A189)&gt;1),"N° OF en double",IF(G189="Annulé","OK",IF(I189="","Poste manquant (gamme)",IF(ISNA(MATCH(I189,po_code,0)),"Poste inconnu",IF(K189="","Capacité du poste nulle",IF(AND(H189&lt;&gt;"",N(H189)=0),"Début imposé invalide",IF(AND(N(H189)&gt;0,WORKDAY.INTL(H189-1,1,p_weekend,p_holidays)&lt;&gt;H189),"Début un jour chômé",IF(AND(N(H189)&gt;0,H189&lt;=SUMPRODUCT(MAX(($I$6:$I188=$I189)*$M$6:$M188))),"Chevauche l'OF précédent",IF(N(F189)=0,"Date de besoin manquante","OK")))))))))))))</f>
        <v/>
      </c>
      <c r="T189" s="65" t="str">
        <f>IF(K189="","",J189/K189)</f>
        <v/>
      </c>
      <c r="U189" s="66" t="str">
        <f>IF(OR(O189="En retard",O189="Juste"),COUNTIF($O$6:O189,"En retard")+COUNTIF($O$6:O189,"Juste"),"")</f>
        <v/>
      </c>
    </row>
    <row r="190">
      <c r="A190" s="53" t="n"/>
      <c r="B190" s="53" t="n"/>
      <c r="C190" s="54" t="str">
        <f>IF(B190="","",IFERROR(INDEX(art_des,MATCH($B190,art_ref,0)),"Référence inconnue"))</f>
        <v/>
      </c>
      <c r="D190" s="55" t="n"/>
      <c r="E190" s="53" t="n"/>
      <c r="F190" s="56" t="n"/>
      <c r="G190" s="57" t="n"/>
      <c r="H190" s="56" t="n"/>
      <c r="I190" s="58" t="str">
        <f>IF(B190="","",IFERROR(INDEX(art_poste,MATCH($B190,art_ref,0))&amp;"",""))</f>
        <v/>
      </c>
      <c r="J190" s="59" t="str">
        <f>IF(OR(B190="",G190="Annulé",N(D190)&lt;=0),"",IFERROR(ROUND(INDEX(art_setup,MATCH($B190,art_ref,0))+D190*INDEX(art_cycle,MATCH($B190,art_ref,0))/60,2),""))</f>
        <v/>
      </c>
      <c r="K190" s="60" t="str">
        <f>IF(J190="","",IFERROR(MAX(1,ROUNDUP(J190/INDEX(po_cap,MATCH(I190,po_code,0)),0)),""))</f>
        <v/>
      </c>
      <c r="L190" s="61">
        <f>IF(K190="",0,IF(N(H190)&gt;0,H190,WORKDAY.INTL(MAX(p_start-1,SUMPRODUCT(MAX(($I$6:$I189=$I190)*$M$6:$M189))),1,p_weekend,p_holidays)))</f>
        <v>0.0</v>
      </c>
      <c r="M190" s="61">
        <f>IF(K190="",0,WORKDAY.INTL(L190,K190-1,p_weekend,p_holidays))</f>
        <v>0.0</v>
      </c>
      <c r="N190" s="62" t="str">
        <f>IF(OR(M190=0,N(F190)=0,G190="Terminé"),"",F190-M190)</f>
        <v/>
      </c>
      <c r="O190" s="58" t="str">
        <f>IF(B190="","",IF(G190="Annulé","Annulé",IF(G190="Terminé","Terminé",IF(M190=0,"À compléter",IF(N(F190)=0,"Sans échéance",IF(M190&gt;F190,"En retard",IF(F190-M190&lt;=p_margin,"Juste","À l'heure")))))))</f>
        <v/>
      </c>
      <c r="P190" s="55" t="n"/>
      <c r="Q190" s="63" t="str">
        <f>IF(OR(B190="",N(D190)&lt;=0),"",MIN(1,N(P190)/D190))</f>
        <v/>
      </c>
      <c r="R190" s="64" t="str">
        <f>IF(OR(J190="",ISNA(MATCH(I190,po_code,0))),"",ROUND(J190*N(INDEX(po_rate,MATCH(I190,po_code,0))),2))</f>
        <v/>
      </c>
      <c r="S190" s="58" t="str">
        <f>IF(AND(A190="",B190=""),"",IF(B190="","Référence manquante",IF(ISNA(MATCH($B190,art_ref,0)),"Référence inconnue",IF(N(D190)&lt;=0,"Quantité invalide",IF(AND(A190&lt;&gt;"",COUNTIF(of_num,A190)&gt;1),"N° OF en double",IF(G190="Annulé","OK",IF(I190="","Poste manquant (gamme)",IF(ISNA(MATCH(I190,po_code,0)),"Poste inconnu",IF(K190="","Capacité du poste nulle",IF(AND(H190&lt;&gt;"",N(H190)=0),"Début imposé invalide",IF(AND(N(H190)&gt;0,WORKDAY.INTL(H190-1,1,p_weekend,p_holidays)&lt;&gt;H190),"Début un jour chômé",IF(AND(N(H190)&gt;0,H190&lt;=SUMPRODUCT(MAX(($I$6:$I189=$I190)*$M$6:$M189))),"Chevauche l'OF précédent",IF(N(F190)=0,"Date de besoin manquante","OK")))))))))))))</f>
        <v/>
      </c>
      <c r="T190" s="65" t="str">
        <f>IF(K190="","",J190/K190)</f>
        <v/>
      </c>
      <c r="U190" s="66" t="str">
        <f>IF(OR(O190="En retard",O190="Juste"),COUNTIF($O$6:O190,"En retard")+COUNTIF($O$6:O190,"Juste"),"")</f>
        <v/>
      </c>
    </row>
    <row r="191">
      <c r="A191" s="53" t="n"/>
      <c r="B191" s="53" t="n"/>
      <c r="C191" s="54" t="str">
        <f>IF(B191="","",IFERROR(INDEX(art_des,MATCH($B191,art_ref,0)),"Référence inconnue"))</f>
        <v/>
      </c>
      <c r="D191" s="55" t="n"/>
      <c r="E191" s="53" t="n"/>
      <c r="F191" s="56" t="n"/>
      <c r="G191" s="57" t="n"/>
      <c r="H191" s="56" t="n"/>
      <c r="I191" s="58" t="str">
        <f>IF(B191="","",IFERROR(INDEX(art_poste,MATCH($B191,art_ref,0))&amp;"",""))</f>
        <v/>
      </c>
      <c r="J191" s="59" t="str">
        <f>IF(OR(B191="",G191="Annulé",N(D191)&lt;=0),"",IFERROR(ROUND(INDEX(art_setup,MATCH($B191,art_ref,0))+D191*INDEX(art_cycle,MATCH($B191,art_ref,0))/60,2),""))</f>
        <v/>
      </c>
      <c r="K191" s="60" t="str">
        <f>IF(J191="","",IFERROR(MAX(1,ROUNDUP(J191/INDEX(po_cap,MATCH(I191,po_code,0)),0)),""))</f>
        <v/>
      </c>
      <c r="L191" s="61">
        <f>IF(K191="",0,IF(N(H191)&gt;0,H191,WORKDAY.INTL(MAX(p_start-1,SUMPRODUCT(MAX(($I$6:$I190=$I191)*$M$6:$M190))),1,p_weekend,p_holidays)))</f>
        <v>0.0</v>
      </c>
      <c r="M191" s="61">
        <f>IF(K191="",0,WORKDAY.INTL(L191,K191-1,p_weekend,p_holidays))</f>
        <v>0.0</v>
      </c>
      <c r="N191" s="62" t="str">
        <f>IF(OR(M191=0,N(F191)=0,G191="Terminé"),"",F191-M191)</f>
        <v/>
      </c>
      <c r="O191" s="58" t="str">
        <f>IF(B191="","",IF(G191="Annulé","Annulé",IF(G191="Terminé","Terminé",IF(M191=0,"À compléter",IF(N(F191)=0,"Sans échéance",IF(M191&gt;F191,"En retard",IF(F191-M191&lt;=p_margin,"Juste","À l'heure")))))))</f>
        <v/>
      </c>
      <c r="P191" s="55" t="n"/>
      <c r="Q191" s="63" t="str">
        <f>IF(OR(B191="",N(D191)&lt;=0),"",MIN(1,N(P191)/D191))</f>
        <v/>
      </c>
      <c r="R191" s="64" t="str">
        <f>IF(OR(J191="",ISNA(MATCH(I191,po_code,0))),"",ROUND(J191*N(INDEX(po_rate,MATCH(I191,po_code,0))),2))</f>
        <v/>
      </c>
      <c r="S191" s="58" t="str">
        <f>IF(AND(A191="",B191=""),"",IF(B191="","Référence manquante",IF(ISNA(MATCH($B191,art_ref,0)),"Référence inconnue",IF(N(D191)&lt;=0,"Quantité invalide",IF(AND(A191&lt;&gt;"",COUNTIF(of_num,A191)&gt;1),"N° OF en double",IF(G191="Annulé","OK",IF(I191="","Poste manquant (gamme)",IF(ISNA(MATCH(I191,po_code,0)),"Poste inconnu",IF(K191="","Capacité du poste nulle",IF(AND(H191&lt;&gt;"",N(H191)=0),"Début imposé invalide",IF(AND(N(H191)&gt;0,WORKDAY.INTL(H191-1,1,p_weekend,p_holidays)&lt;&gt;H191),"Début un jour chômé",IF(AND(N(H191)&gt;0,H191&lt;=SUMPRODUCT(MAX(($I$6:$I190=$I191)*$M$6:$M190))),"Chevauche l'OF précédent",IF(N(F191)=0,"Date de besoin manquante","OK")))))))))))))</f>
        <v/>
      </c>
      <c r="T191" s="65" t="str">
        <f>IF(K191="","",J191/K191)</f>
        <v/>
      </c>
      <c r="U191" s="66" t="str">
        <f>IF(OR(O191="En retard",O191="Juste"),COUNTIF($O$6:O191,"En retard")+COUNTIF($O$6:O191,"Juste"),"")</f>
        <v/>
      </c>
    </row>
    <row r="192">
      <c r="A192" s="53" t="n"/>
      <c r="B192" s="53" t="n"/>
      <c r="C192" s="54" t="str">
        <f>IF(B192="","",IFERROR(INDEX(art_des,MATCH($B192,art_ref,0)),"Référence inconnue"))</f>
        <v/>
      </c>
      <c r="D192" s="55" t="n"/>
      <c r="E192" s="53" t="n"/>
      <c r="F192" s="56" t="n"/>
      <c r="G192" s="57" t="n"/>
      <c r="H192" s="56" t="n"/>
      <c r="I192" s="58" t="str">
        <f>IF(B192="","",IFERROR(INDEX(art_poste,MATCH($B192,art_ref,0))&amp;"",""))</f>
        <v/>
      </c>
      <c r="J192" s="59" t="str">
        <f>IF(OR(B192="",G192="Annulé",N(D192)&lt;=0),"",IFERROR(ROUND(INDEX(art_setup,MATCH($B192,art_ref,0))+D192*INDEX(art_cycle,MATCH($B192,art_ref,0))/60,2),""))</f>
        <v/>
      </c>
      <c r="K192" s="60" t="str">
        <f>IF(J192="","",IFERROR(MAX(1,ROUNDUP(J192/INDEX(po_cap,MATCH(I192,po_code,0)),0)),""))</f>
        <v/>
      </c>
      <c r="L192" s="61">
        <f>IF(K192="",0,IF(N(H192)&gt;0,H192,WORKDAY.INTL(MAX(p_start-1,SUMPRODUCT(MAX(($I$6:$I191=$I192)*$M$6:$M191))),1,p_weekend,p_holidays)))</f>
        <v>0.0</v>
      </c>
      <c r="M192" s="61">
        <f>IF(K192="",0,WORKDAY.INTL(L192,K192-1,p_weekend,p_holidays))</f>
        <v>0.0</v>
      </c>
      <c r="N192" s="62" t="str">
        <f>IF(OR(M192=0,N(F192)=0,G192="Terminé"),"",F192-M192)</f>
        <v/>
      </c>
      <c r="O192" s="58" t="str">
        <f>IF(B192="","",IF(G192="Annulé","Annulé",IF(G192="Terminé","Terminé",IF(M192=0,"À compléter",IF(N(F192)=0,"Sans échéance",IF(M192&gt;F192,"En retard",IF(F192-M192&lt;=p_margin,"Juste","À l'heure")))))))</f>
        <v/>
      </c>
      <c r="P192" s="55" t="n"/>
      <c r="Q192" s="63" t="str">
        <f>IF(OR(B192="",N(D192)&lt;=0),"",MIN(1,N(P192)/D192))</f>
        <v/>
      </c>
      <c r="R192" s="64" t="str">
        <f>IF(OR(J192="",ISNA(MATCH(I192,po_code,0))),"",ROUND(J192*N(INDEX(po_rate,MATCH(I192,po_code,0))),2))</f>
        <v/>
      </c>
      <c r="S192" s="58" t="str">
        <f>IF(AND(A192="",B192=""),"",IF(B192="","Référence manquante",IF(ISNA(MATCH($B192,art_ref,0)),"Référence inconnue",IF(N(D192)&lt;=0,"Quantité invalide",IF(AND(A192&lt;&gt;"",COUNTIF(of_num,A192)&gt;1),"N° OF en double",IF(G192="Annulé","OK",IF(I192="","Poste manquant (gamme)",IF(ISNA(MATCH(I192,po_code,0)),"Poste inconnu",IF(K192="","Capacité du poste nulle",IF(AND(H192&lt;&gt;"",N(H192)=0),"Début imposé invalide",IF(AND(N(H192)&gt;0,WORKDAY.INTL(H192-1,1,p_weekend,p_holidays)&lt;&gt;H192),"Début un jour chômé",IF(AND(N(H192)&gt;0,H192&lt;=SUMPRODUCT(MAX(($I$6:$I191=$I192)*$M$6:$M191))),"Chevauche l'OF précédent",IF(N(F192)=0,"Date de besoin manquante","OK")))))))))))))</f>
        <v/>
      </c>
      <c r="T192" s="65" t="str">
        <f>IF(K192="","",J192/K192)</f>
        <v/>
      </c>
      <c r="U192" s="66" t="str">
        <f>IF(OR(O192="En retard",O192="Juste"),COUNTIF($O$6:O192,"En retard")+COUNTIF($O$6:O192,"Juste"),"")</f>
        <v/>
      </c>
    </row>
    <row r="193">
      <c r="A193" s="53" t="n"/>
      <c r="B193" s="53" t="n"/>
      <c r="C193" s="54" t="str">
        <f>IF(B193="","",IFERROR(INDEX(art_des,MATCH($B193,art_ref,0)),"Référence inconnue"))</f>
        <v/>
      </c>
      <c r="D193" s="55" t="n"/>
      <c r="E193" s="53" t="n"/>
      <c r="F193" s="56" t="n"/>
      <c r="G193" s="57" t="n"/>
      <c r="H193" s="56" t="n"/>
      <c r="I193" s="58" t="str">
        <f>IF(B193="","",IFERROR(INDEX(art_poste,MATCH($B193,art_ref,0))&amp;"",""))</f>
        <v/>
      </c>
      <c r="J193" s="59" t="str">
        <f>IF(OR(B193="",G193="Annulé",N(D193)&lt;=0),"",IFERROR(ROUND(INDEX(art_setup,MATCH($B193,art_ref,0))+D193*INDEX(art_cycle,MATCH($B193,art_ref,0))/60,2),""))</f>
        <v/>
      </c>
      <c r="K193" s="60" t="str">
        <f>IF(J193="","",IFERROR(MAX(1,ROUNDUP(J193/INDEX(po_cap,MATCH(I193,po_code,0)),0)),""))</f>
        <v/>
      </c>
      <c r="L193" s="61">
        <f>IF(K193="",0,IF(N(H193)&gt;0,H193,WORKDAY.INTL(MAX(p_start-1,SUMPRODUCT(MAX(($I$6:$I192=$I193)*$M$6:$M192))),1,p_weekend,p_holidays)))</f>
        <v>0.0</v>
      </c>
      <c r="M193" s="61">
        <f>IF(K193="",0,WORKDAY.INTL(L193,K193-1,p_weekend,p_holidays))</f>
        <v>0.0</v>
      </c>
      <c r="N193" s="62" t="str">
        <f>IF(OR(M193=0,N(F193)=0,G193="Terminé"),"",F193-M193)</f>
        <v/>
      </c>
      <c r="O193" s="58" t="str">
        <f>IF(B193="","",IF(G193="Annulé","Annulé",IF(G193="Terminé","Terminé",IF(M193=0,"À compléter",IF(N(F193)=0,"Sans échéance",IF(M193&gt;F193,"En retard",IF(F193-M193&lt;=p_margin,"Juste","À l'heure")))))))</f>
        <v/>
      </c>
      <c r="P193" s="55" t="n"/>
      <c r="Q193" s="63" t="str">
        <f>IF(OR(B193="",N(D193)&lt;=0),"",MIN(1,N(P193)/D193))</f>
        <v/>
      </c>
      <c r="R193" s="64" t="str">
        <f>IF(OR(J193="",ISNA(MATCH(I193,po_code,0))),"",ROUND(J193*N(INDEX(po_rate,MATCH(I193,po_code,0))),2))</f>
        <v/>
      </c>
      <c r="S193" s="58" t="str">
        <f>IF(AND(A193="",B193=""),"",IF(B193="","Référence manquante",IF(ISNA(MATCH($B193,art_ref,0)),"Référence inconnue",IF(N(D193)&lt;=0,"Quantité invalide",IF(AND(A193&lt;&gt;"",COUNTIF(of_num,A193)&gt;1),"N° OF en double",IF(G193="Annulé","OK",IF(I193="","Poste manquant (gamme)",IF(ISNA(MATCH(I193,po_code,0)),"Poste inconnu",IF(K193="","Capacité du poste nulle",IF(AND(H193&lt;&gt;"",N(H193)=0),"Début imposé invalide",IF(AND(N(H193)&gt;0,WORKDAY.INTL(H193-1,1,p_weekend,p_holidays)&lt;&gt;H193),"Début un jour chômé",IF(AND(N(H193)&gt;0,H193&lt;=SUMPRODUCT(MAX(($I$6:$I192=$I193)*$M$6:$M192))),"Chevauche l'OF précédent",IF(N(F193)=0,"Date de besoin manquante","OK")))))))))))))</f>
        <v/>
      </c>
      <c r="T193" s="65" t="str">
        <f>IF(K193="","",J193/K193)</f>
        <v/>
      </c>
      <c r="U193" s="66" t="str">
        <f>IF(OR(O193="En retard",O193="Juste"),COUNTIF($O$6:O193,"En retard")+COUNTIF($O$6:O193,"Juste"),"")</f>
        <v/>
      </c>
    </row>
    <row r="194">
      <c r="A194" s="53" t="n"/>
      <c r="B194" s="53" t="n"/>
      <c r="C194" s="54" t="str">
        <f>IF(B194="","",IFERROR(INDEX(art_des,MATCH($B194,art_ref,0)),"Référence inconnue"))</f>
        <v/>
      </c>
      <c r="D194" s="55" t="n"/>
      <c r="E194" s="53" t="n"/>
      <c r="F194" s="56" t="n"/>
      <c r="G194" s="57" t="n"/>
      <c r="H194" s="56" t="n"/>
      <c r="I194" s="58" t="str">
        <f>IF(B194="","",IFERROR(INDEX(art_poste,MATCH($B194,art_ref,0))&amp;"",""))</f>
        <v/>
      </c>
      <c r="J194" s="59" t="str">
        <f>IF(OR(B194="",G194="Annulé",N(D194)&lt;=0),"",IFERROR(ROUND(INDEX(art_setup,MATCH($B194,art_ref,0))+D194*INDEX(art_cycle,MATCH($B194,art_ref,0))/60,2),""))</f>
        <v/>
      </c>
      <c r="K194" s="60" t="str">
        <f>IF(J194="","",IFERROR(MAX(1,ROUNDUP(J194/INDEX(po_cap,MATCH(I194,po_code,0)),0)),""))</f>
        <v/>
      </c>
      <c r="L194" s="61">
        <f>IF(K194="",0,IF(N(H194)&gt;0,H194,WORKDAY.INTL(MAX(p_start-1,SUMPRODUCT(MAX(($I$6:$I193=$I194)*$M$6:$M193))),1,p_weekend,p_holidays)))</f>
        <v>0.0</v>
      </c>
      <c r="M194" s="61">
        <f>IF(K194="",0,WORKDAY.INTL(L194,K194-1,p_weekend,p_holidays))</f>
        <v>0.0</v>
      </c>
      <c r="N194" s="62" t="str">
        <f>IF(OR(M194=0,N(F194)=0,G194="Terminé"),"",F194-M194)</f>
        <v/>
      </c>
      <c r="O194" s="58" t="str">
        <f>IF(B194="","",IF(G194="Annulé","Annulé",IF(G194="Terminé","Terminé",IF(M194=0,"À compléter",IF(N(F194)=0,"Sans échéance",IF(M194&gt;F194,"En retard",IF(F194-M194&lt;=p_margin,"Juste","À l'heure")))))))</f>
        <v/>
      </c>
      <c r="P194" s="55" t="n"/>
      <c r="Q194" s="63" t="str">
        <f>IF(OR(B194="",N(D194)&lt;=0),"",MIN(1,N(P194)/D194))</f>
        <v/>
      </c>
      <c r="R194" s="64" t="str">
        <f>IF(OR(J194="",ISNA(MATCH(I194,po_code,0))),"",ROUND(J194*N(INDEX(po_rate,MATCH(I194,po_code,0))),2))</f>
        <v/>
      </c>
      <c r="S194" s="58" t="str">
        <f>IF(AND(A194="",B194=""),"",IF(B194="","Référence manquante",IF(ISNA(MATCH($B194,art_ref,0)),"Référence inconnue",IF(N(D194)&lt;=0,"Quantité invalide",IF(AND(A194&lt;&gt;"",COUNTIF(of_num,A194)&gt;1),"N° OF en double",IF(G194="Annulé","OK",IF(I194="","Poste manquant (gamme)",IF(ISNA(MATCH(I194,po_code,0)),"Poste inconnu",IF(K194="","Capacité du poste nulle",IF(AND(H194&lt;&gt;"",N(H194)=0),"Début imposé invalide",IF(AND(N(H194)&gt;0,WORKDAY.INTL(H194-1,1,p_weekend,p_holidays)&lt;&gt;H194),"Début un jour chômé",IF(AND(N(H194)&gt;0,H194&lt;=SUMPRODUCT(MAX(($I$6:$I193=$I194)*$M$6:$M193))),"Chevauche l'OF précédent",IF(N(F194)=0,"Date de besoin manquante","OK")))))))))))))</f>
        <v/>
      </c>
      <c r="T194" s="65" t="str">
        <f>IF(K194="","",J194/K194)</f>
        <v/>
      </c>
      <c r="U194" s="66" t="str">
        <f>IF(OR(O194="En retard",O194="Juste"),COUNTIF($O$6:O194,"En retard")+COUNTIF($O$6:O194,"Juste"),"")</f>
        <v/>
      </c>
    </row>
    <row r="195">
      <c r="A195" s="53" t="n"/>
      <c r="B195" s="53" t="n"/>
      <c r="C195" s="54" t="str">
        <f>IF(B195="","",IFERROR(INDEX(art_des,MATCH($B195,art_ref,0)),"Référence inconnue"))</f>
        <v/>
      </c>
      <c r="D195" s="55" t="n"/>
      <c r="E195" s="53" t="n"/>
      <c r="F195" s="56" t="n"/>
      <c r="G195" s="57" t="n"/>
      <c r="H195" s="56" t="n"/>
      <c r="I195" s="58" t="str">
        <f>IF(B195="","",IFERROR(INDEX(art_poste,MATCH($B195,art_ref,0))&amp;"",""))</f>
        <v/>
      </c>
      <c r="J195" s="59" t="str">
        <f>IF(OR(B195="",G195="Annulé",N(D195)&lt;=0),"",IFERROR(ROUND(INDEX(art_setup,MATCH($B195,art_ref,0))+D195*INDEX(art_cycle,MATCH($B195,art_ref,0))/60,2),""))</f>
        <v/>
      </c>
      <c r="K195" s="60" t="str">
        <f>IF(J195="","",IFERROR(MAX(1,ROUNDUP(J195/INDEX(po_cap,MATCH(I195,po_code,0)),0)),""))</f>
        <v/>
      </c>
      <c r="L195" s="61">
        <f>IF(K195="",0,IF(N(H195)&gt;0,H195,WORKDAY.INTL(MAX(p_start-1,SUMPRODUCT(MAX(($I$6:$I194=$I195)*$M$6:$M194))),1,p_weekend,p_holidays)))</f>
        <v>0.0</v>
      </c>
      <c r="M195" s="61">
        <f>IF(K195="",0,WORKDAY.INTL(L195,K195-1,p_weekend,p_holidays))</f>
        <v>0.0</v>
      </c>
      <c r="N195" s="62" t="str">
        <f>IF(OR(M195=0,N(F195)=0,G195="Terminé"),"",F195-M195)</f>
        <v/>
      </c>
      <c r="O195" s="58" t="str">
        <f>IF(B195="","",IF(G195="Annulé","Annulé",IF(G195="Terminé","Terminé",IF(M195=0,"À compléter",IF(N(F195)=0,"Sans échéance",IF(M195&gt;F195,"En retard",IF(F195-M195&lt;=p_margin,"Juste","À l'heure")))))))</f>
        <v/>
      </c>
      <c r="P195" s="55" t="n"/>
      <c r="Q195" s="63" t="str">
        <f>IF(OR(B195="",N(D195)&lt;=0),"",MIN(1,N(P195)/D195))</f>
        <v/>
      </c>
      <c r="R195" s="64" t="str">
        <f>IF(OR(J195="",ISNA(MATCH(I195,po_code,0))),"",ROUND(J195*N(INDEX(po_rate,MATCH(I195,po_code,0))),2))</f>
        <v/>
      </c>
      <c r="S195" s="58" t="str">
        <f>IF(AND(A195="",B195=""),"",IF(B195="","Référence manquante",IF(ISNA(MATCH($B195,art_ref,0)),"Référence inconnue",IF(N(D195)&lt;=0,"Quantité invalide",IF(AND(A195&lt;&gt;"",COUNTIF(of_num,A195)&gt;1),"N° OF en double",IF(G195="Annulé","OK",IF(I195="","Poste manquant (gamme)",IF(ISNA(MATCH(I195,po_code,0)),"Poste inconnu",IF(K195="","Capacité du poste nulle",IF(AND(H195&lt;&gt;"",N(H195)=0),"Début imposé invalide",IF(AND(N(H195)&gt;0,WORKDAY.INTL(H195-1,1,p_weekend,p_holidays)&lt;&gt;H195),"Début un jour chômé",IF(AND(N(H195)&gt;0,H195&lt;=SUMPRODUCT(MAX(($I$6:$I194=$I195)*$M$6:$M194))),"Chevauche l'OF précédent",IF(N(F195)=0,"Date de besoin manquante","OK")))))))))))))</f>
        <v/>
      </c>
      <c r="T195" s="65" t="str">
        <f>IF(K195="","",J195/K195)</f>
        <v/>
      </c>
      <c r="U195" s="66" t="str">
        <f>IF(OR(O195="En retard",O195="Juste"),COUNTIF($O$6:O195,"En retard")+COUNTIF($O$6:O195,"Juste"),"")</f>
        <v/>
      </c>
    </row>
    <row r="196">
      <c r="A196" s="53" t="n"/>
      <c r="B196" s="53" t="n"/>
      <c r="C196" s="54" t="str">
        <f>IF(B196="","",IFERROR(INDEX(art_des,MATCH($B196,art_ref,0)),"Référence inconnue"))</f>
        <v/>
      </c>
      <c r="D196" s="55" t="n"/>
      <c r="E196" s="53" t="n"/>
      <c r="F196" s="56" t="n"/>
      <c r="G196" s="57" t="n"/>
      <c r="H196" s="56" t="n"/>
      <c r="I196" s="58" t="str">
        <f>IF(B196="","",IFERROR(INDEX(art_poste,MATCH($B196,art_ref,0))&amp;"",""))</f>
        <v/>
      </c>
      <c r="J196" s="59" t="str">
        <f>IF(OR(B196="",G196="Annulé",N(D196)&lt;=0),"",IFERROR(ROUND(INDEX(art_setup,MATCH($B196,art_ref,0))+D196*INDEX(art_cycle,MATCH($B196,art_ref,0))/60,2),""))</f>
        <v/>
      </c>
      <c r="K196" s="60" t="str">
        <f>IF(J196="","",IFERROR(MAX(1,ROUNDUP(J196/INDEX(po_cap,MATCH(I196,po_code,0)),0)),""))</f>
        <v/>
      </c>
      <c r="L196" s="61">
        <f>IF(K196="",0,IF(N(H196)&gt;0,H196,WORKDAY.INTL(MAX(p_start-1,SUMPRODUCT(MAX(($I$6:$I195=$I196)*$M$6:$M195))),1,p_weekend,p_holidays)))</f>
        <v>0.0</v>
      </c>
      <c r="M196" s="61">
        <f>IF(K196="",0,WORKDAY.INTL(L196,K196-1,p_weekend,p_holidays))</f>
        <v>0.0</v>
      </c>
      <c r="N196" s="62" t="str">
        <f>IF(OR(M196=0,N(F196)=0,G196="Terminé"),"",F196-M196)</f>
        <v/>
      </c>
      <c r="O196" s="58" t="str">
        <f>IF(B196="","",IF(G196="Annulé","Annulé",IF(G196="Terminé","Terminé",IF(M196=0,"À compléter",IF(N(F196)=0,"Sans échéance",IF(M196&gt;F196,"En retard",IF(F196-M196&lt;=p_margin,"Juste","À l'heure")))))))</f>
        <v/>
      </c>
      <c r="P196" s="55" t="n"/>
      <c r="Q196" s="63" t="str">
        <f>IF(OR(B196="",N(D196)&lt;=0),"",MIN(1,N(P196)/D196))</f>
        <v/>
      </c>
      <c r="R196" s="64" t="str">
        <f>IF(OR(J196="",ISNA(MATCH(I196,po_code,0))),"",ROUND(J196*N(INDEX(po_rate,MATCH(I196,po_code,0))),2))</f>
        <v/>
      </c>
      <c r="S196" s="58" t="str">
        <f>IF(AND(A196="",B196=""),"",IF(B196="","Référence manquante",IF(ISNA(MATCH($B196,art_ref,0)),"Référence inconnue",IF(N(D196)&lt;=0,"Quantité invalide",IF(AND(A196&lt;&gt;"",COUNTIF(of_num,A196)&gt;1),"N° OF en double",IF(G196="Annulé","OK",IF(I196="","Poste manquant (gamme)",IF(ISNA(MATCH(I196,po_code,0)),"Poste inconnu",IF(K196="","Capacité du poste nulle",IF(AND(H196&lt;&gt;"",N(H196)=0),"Début imposé invalide",IF(AND(N(H196)&gt;0,WORKDAY.INTL(H196-1,1,p_weekend,p_holidays)&lt;&gt;H196),"Début un jour chômé",IF(AND(N(H196)&gt;0,H196&lt;=SUMPRODUCT(MAX(($I$6:$I195=$I196)*$M$6:$M195))),"Chevauche l'OF précédent",IF(N(F196)=0,"Date de besoin manquante","OK")))))))))))))</f>
        <v/>
      </c>
      <c r="T196" s="65" t="str">
        <f>IF(K196="","",J196/K196)</f>
        <v/>
      </c>
      <c r="U196" s="66" t="str">
        <f>IF(OR(O196="En retard",O196="Juste"),COUNTIF($O$6:O196,"En retard")+COUNTIF($O$6:O196,"Juste"),"")</f>
        <v/>
      </c>
    </row>
    <row r="197">
      <c r="A197" s="53" t="n"/>
      <c r="B197" s="53" t="n"/>
      <c r="C197" s="54" t="str">
        <f>IF(B197="","",IFERROR(INDEX(art_des,MATCH($B197,art_ref,0)),"Référence inconnue"))</f>
        <v/>
      </c>
      <c r="D197" s="55" t="n"/>
      <c r="E197" s="53" t="n"/>
      <c r="F197" s="56" t="n"/>
      <c r="G197" s="57" t="n"/>
      <c r="H197" s="56" t="n"/>
      <c r="I197" s="58" t="str">
        <f>IF(B197="","",IFERROR(INDEX(art_poste,MATCH($B197,art_ref,0))&amp;"",""))</f>
        <v/>
      </c>
      <c r="J197" s="59" t="str">
        <f>IF(OR(B197="",G197="Annulé",N(D197)&lt;=0),"",IFERROR(ROUND(INDEX(art_setup,MATCH($B197,art_ref,0))+D197*INDEX(art_cycle,MATCH($B197,art_ref,0))/60,2),""))</f>
        <v/>
      </c>
      <c r="K197" s="60" t="str">
        <f>IF(J197="","",IFERROR(MAX(1,ROUNDUP(J197/INDEX(po_cap,MATCH(I197,po_code,0)),0)),""))</f>
        <v/>
      </c>
      <c r="L197" s="61">
        <f>IF(K197="",0,IF(N(H197)&gt;0,H197,WORKDAY.INTL(MAX(p_start-1,SUMPRODUCT(MAX(($I$6:$I196=$I197)*$M$6:$M196))),1,p_weekend,p_holidays)))</f>
        <v>0.0</v>
      </c>
      <c r="M197" s="61">
        <f>IF(K197="",0,WORKDAY.INTL(L197,K197-1,p_weekend,p_holidays))</f>
        <v>0.0</v>
      </c>
      <c r="N197" s="62" t="str">
        <f>IF(OR(M197=0,N(F197)=0,G197="Terminé"),"",F197-M197)</f>
        <v/>
      </c>
      <c r="O197" s="58" t="str">
        <f>IF(B197="","",IF(G197="Annulé","Annulé",IF(G197="Terminé","Terminé",IF(M197=0,"À compléter",IF(N(F197)=0,"Sans échéance",IF(M197&gt;F197,"En retard",IF(F197-M197&lt;=p_margin,"Juste","À l'heure")))))))</f>
        <v/>
      </c>
      <c r="P197" s="55" t="n"/>
      <c r="Q197" s="63" t="str">
        <f>IF(OR(B197="",N(D197)&lt;=0),"",MIN(1,N(P197)/D197))</f>
        <v/>
      </c>
      <c r="R197" s="64" t="str">
        <f>IF(OR(J197="",ISNA(MATCH(I197,po_code,0))),"",ROUND(J197*N(INDEX(po_rate,MATCH(I197,po_code,0))),2))</f>
        <v/>
      </c>
      <c r="S197" s="58" t="str">
        <f>IF(AND(A197="",B197=""),"",IF(B197="","Référence manquante",IF(ISNA(MATCH($B197,art_ref,0)),"Référence inconnue",IF(N(D197)&lt;=0,"Quantité invalide",IF(AND(A197&lt;&gt;"",COUNTIF(of_num,A197)&gt;1),"N° OF en double",IF(G197="Annulé","OK",IF(I197="","Poste manquant (gamme)",IF(ISNA(MATCH(I197,po_code,0)),"Poste inconnu",IF(K197="","Capacité du poste nulle",IF(AND(H197&lt;&gt;"",N(H197)=0),"Début imposé invalide",IF(AND(N(H197)&gt;0,WORKDAY.INTL(H197-1,1,p_weekend,p_holidays)&lt;&gt;H197),"Début un jour chômé",IF(AND(N(H197)&gt;0,H197&lt;=SUMPRODUCT(MAX(($I$6:$I196=$I197)*$M$6:$M196))),"Chevauche l'OF précédent",IF(N(F197)=0,"Date de besoin manquante","OK")))))))))))))</f>
        <v/>
      </c>
      <c r="T197" s="65" t="str">
        <f>IF(K197="","",J197/K197)</f>
        <v/>
      </c>
      <c r="U197" s="66" t="str">
        <f>IF(OR(O197="En retard",O197="Juste"),COUNTIF($O$6:O197,"En retard")+COUNTIF($O$6:O197,"Juste"),"")</f>
        <v/>
      </c>
    </row>
    <row r="198">
      <c r="A198" s="53" t="n"/>
      <c r="B198" s="53" t="n"/>
      <c r="C198" s="54" t="str">
        <f>IF(B198="","",IFERROR(INDEX(art_des,MATCH($B198,art_ref,0)),"Référence inconnue"))</f>
        <v/>
      </c>
      <c r="D198" s="55" t="n"/>
      <c r="E198" s="53" t="n"/>
      <c r="F198" s="56" t="n"/>
      <c r="G198" s="57" t="n"/>
      <c r="H198" s="56" t="n"/>
      <c r="I198" s="58" t="str">
        <f>IF(B198="","",IFERROR(INDEX(art_poste,MATCH($B198,art_ref,0))&amp;"",""))</f>
        <v/>
      </c>
      <c r="J198" s="59" t="str">
        <f>IF(OR(B198="",G198="Annulé",N(D198)&lt;=0),"",IFERROR(ROUND(INDEX(art_setup,MATCH($B198,art_ref,0))+D198*INDEX(art_cycle,MATCH($B198,art_ref,0))/60,2),""))</f>
        <v/>
      </c>
      <c r="K198" s="60" t="str">
        <f>IF(J198="","",IFERROR(MAX(1,ROUNDUP(J198/INDEX(po_cap,MATCH(I198,po_code,0)),0)),""))</f>
        <v/>
      </c>
      <c r="L198" s="61">
        <f>IF(K198="",0,IF(N(H198)&gt;0,H198,WORKDAY.INTL(MAX(p_start-1,SUMPRODUCT(MAX(($I$6:$I197=$I198)*$M$6:$M197))),1,p_weekend,p_holidays)))</f>
        <v>0.0</v>
      </c>
      <c r="M198" s="61">
        <f>IF(K198="",0,WORKDAY.INTL(L198,K198-1,p_weekend,p_holidays))</f>
        <v>0.0</v>
      </c>
      <c r="N198" s="62" t="str">
        <f>IF(OR(M198=0,N(F198)=0,G198="Terminé"),"",F198-M198)</f>
        <v/>
      </c>
      <c r="O198" s="58" t="str">
        <f>IF(B198="","",IF(G198="Annulé","Annulé",IF(G198="Terminé","Terminé",IF(M198=0,"À compléter",IF(N(F198)=0,"Sans échéance",IF(M198&gt;F198,"En retard",IF(F198-M198&lt;=p_margin,"Juste","À l'heure")))))))</f>
        <v/>
      </c>
      <c r="P198" s="55" t="n"/>
      <c r="Q198" s="63" t="str">
        <f>IF(OR(B198="",N(D198)&lt;=0),"",MIN(1,N(P198)/D198))</f>
        <v/>
      </c>
      <c r="R198" s="64" t="str">
        <f>IF(OR(J198="",ISNA(MATCH(I198,po_code,0))),"",ROUND(J198*N(INDEX(po_rate,MATCH(I198,po_code,0))),2))</f>
        <v/>
      </c>
      <c r="S198" s="58" t="str">
        <f>IF(AND(A198="",B198=""),"",IF(B198="","Référence manquante",IF(ISNA(MATCH($B198,art_ref,0)),"Référence inconnue",IF(N(D198)&lt;=0,"Quantité invalide",IF(AND(A198&lt;&gt;"",COUNTIF(of_num,A198)&gt;1),"N° OF en double",IF(G198="Annulé","OK",IF(I198="","Poste manquant (gamme)",IF(ISNA(MATCH(I198,po_code,0)),"Poste inconnu",IF(K198="","Capacité du poste nulle",IF(AND(H198&lt;&gt;"",N(H198)=0),"Début imposé invalide",IF(AND(N(H198)&gt;0,WORKDAY.INTL(H198-1,1,p_weekend,p_holidays)&lt;&gt;H198),"Début un jour chômé",IF(AND(N(H198)&gt;0,H198&lt;=SUMPRODUCT(MAX(($I$6:$I197=$I198)*$M$6:$M197))),"Chevauche l'OF précédent",IF(N(F198)=0,"Date de besoin manquante","OK")))))))))))))</f>
        <v/>
      </c>
      <c r="T198" s="65" t="str">
        <f>IF(K198="","",J198/K198)</f>
        <v/>
      </c>
      <c r="U198" s="66" t="str">
        <f>IF(OR(O198="En retard",O198="Juste"),COUNTIF($O$6:O198,"En retard")+COUNTIF($O$6:O198,"Juste"),"")</f>
        <v/>
      </c>
    </row>
    <row r="199">
      <c r="A199" s="53" t="n"/>
      <c r="B199" s="53" t="n"/>
      <c r="C199" s="54" t="str">
        <f>IF(B199="","",IFERROR(INDEX(art_des,MATCH($B199,art_ref,0)),"Référence inconnue"))</f>
        <v/>
      </c>
      <c r="D199" s="55" t="n"/>
      <c r="E199" s="53" t="n"/>
      <c r="F199" s="56" t="n"/>
      <c r="G199" s="57" t="n"/>
      <c r="H199" s="56" t="n"/>
      <c r="I199" s="58" t="str">
        <f>IF(B199="","",IFERROR(INDEX(art_poste,MATCH($B199,art_ref,0))&amp;"",""))</f>
        <v/>
      </c>
      <c r="J199" s="59" t="str">
        <f>IF(OR(B199="",G199="Annulé",N(D199)&lt;=0),"",IFERROR(ROUND(INDEX(art_setup,MATCH($B199,art_ref,0))+D199*INDEX(art_cycle,MATCH($B199,art_ref,0))/60,2),""))</f>
        <v/>
      </c>
      <c r="K199" s="60" t="str">
        <f>IF(J199="","",IFERROR(MAX(1,ROUNDUP(J199/INDEX(po_cap,MATCH(I199,po_code,0)),0)),""))</f>
        <v/>
      </c>
      <c r="L199" s="61">
        <f>IF(K199="",0,IF(N(H199)&gt;0,H199,WORKDAY.INTL(MAX(p_start-1,SUMPRODUCT(MAX(($I$6:$I198=$I199)*$M$6:$M198))),1,p_weekend,p_holidays)))</f>
        <v>0.0</v>
      </c>
      <c r="M199" s="61">
        <f>IF(K199="",0,WORKDAY.INTL(L199,K199-1,p_weekend,p_holidays))</f>
        <v>0.0</v>
      </c>
      <c r="N199" s="62" t="str">
        <f>IF(OR(M199=0,N(F199)=0,G199="Terminé"),"",F199-M199)</f>
        <v/>
      </c>
      <c r="O199" s="58" t="str">
        <f>IF(B199="","",IF(G199="Annulé","Annulé",IF(G199="Terminé","Terminé",IF(M199=0,"À compléter",IF(N(F199)=0,"Sans échéance",IF(M199&gt;F199,"En retard",IF(F199-M199&lt;=p_margin,"Juste","À l'heure")))))))</f>
        <v/>
      </c>
      <c r="P199" s="55" t="n"/>
      <c r="Q199" s="63" t="str">
        <f>IF(OR(B199="",N(D199)&lt;=0),"",MIN(1,N(P199)/D199))</f>
        <v/>
      </c>
      <c r="R199" s="64" t="str">
        <f>IF(OR(J199="",ISNA(MATCH(I199,po_code,0))),"",ROUND(J199*N(INDEX(po_rate,MATCH(I199,po_code,0))),2))</f>
        <v/>
      </c>
      <c r="S199" s="58" t="str">
        <f>IF(AND(A199="",B199=""),"",IF(B199="","Référence manquante",IF(ISNA(MATCH($B199,art_ref,0)),"Référence inconnue",IF(N(D199)&lt;=0,"Quantité invalide",IF(AND(A199&lt;&gt;"",COUNTIF(of_num,A199)&gt;1),"N° OF en double",IF(G199="Annulé","OK",IF(I199="","Poste manquant (gamme)",IF(ISNA(MATCH(I199,po_code,0)),"Poste inconnu",IF(K199="","Capacité du poste nulle",IF(AND(H199&lt;&gt;"",N(H199)=0),"Début imposé invalide",IF(AND(N(H199)&gt;0,WORKDAY.INTL(H199-1,1,p_weekend,p_holidays)&lt;&gt;H199),"Début un jour chômé",IF(AND(N(H199)&gt;0,H199&lt;=SUMPRODUCT(MAX(($I$6:$I198=$I199)*$M$6:$M198))),"Chevauche l'OF précédent",IF(N(F199)=0,"Date de besoin manquante","OK")))))))))))))</f>
        <v/>
      </c>
      <c r="T199" s="65" t="str">
        <f>IF(K199="","",J199/K199)</f>
        <v/>
      </c>
      <c r="U199" s="66" t="str">
        <f>IF(OR(O199="En retard",O199="Juste"),COUNTIF($O$6:O199,"En retard")+COUNTIF($O$6:O199,"Juste"),"")</f>
        <v/>
      </c>
    </row>
    <row r="200">
      <c r="A200" s="53" t="n"/>
      <c r="B200" s="53" t="n"/>
      <c r="C200" s="54" t="str">
        <f>IF(B200="","",IFERROR(INDEX(art_des,MATCH($B200,art_ref,0)),"Référence inconnue"))</f>
        <v/>
      </c>
      <c r="D200" s="55" t="n"/>
      <c r="E200" s="53" t="n"/>
      <c r="F200" s="56" t="n"/>
      <c r="G200" s="57" t="n"/>
      <c r="H200" s="56" t="n"/>
      <c r="I200" s="58" t="str">
        <f>IF(B200="","",IFERROR(INDEX(art_poste,MATCH($B200,art_ref,0))&amp;"",""))</f>
        <v/>
      </c>
      <c r="J200" s="59" t="str">
        <f>IF(OR(B200="",G200="Annulé",N(D200)&lt;=0),"",IFERROR(ROUND(INDEX(art_setup,MATCH($B200,art_ref,0))+D200*INDEX(art_cycle,MATCH($B200,art_ref,0))/60,2),""))</f>
        <v/>
      </c>
      <c r="K200" s="60" t="str">
        <f>IF(J200="","",IFERROR(MAX(1,ROUNDUP(J200/INDEX(po_cap,MATCH(I200,po_code,0)),0)),""))</f>
        <v/>
      </c>
      <c r="L200" s="61">
        <f>IF(K200="",0,IF(N(H200)&gt;0,H200,WORKDAY.INTL(MAX(p_start-1,SUMPRODUCT(MAX(($I$6:$I199=$I200)*$M$6:$M199))),1,p_weekend,p_holidays)))</f>
        <v>0.0</v>
      </c>
      <c r="M200" s="61">
        <f>IF(K200="",0,WORKDAY.INTL(L200,K200-1,p_weekend,p_holidays))</f>
        <v>0.0</v>
      </c>
      <c r="N200" s="62" t="str">
        <f>IF(OR(M200=0,N(F200)=0,G200="Terminé"),"",F200-M200)</f>
        <v/>
      </c>
      <c r="O200" s="58" t="str">
        <f>IF(B200="","",IF(G200="Annulé","Annulé",IF(G200="Terminé","Terminé",IF(M200=0,"À compléter",IF(N(F200)=0,"Sans échéance",IF(M200&gt;F200,"En retard",IF(F200-M200&lt;=p_margin,"Juste","À l'heure")))))))</f>
        <v/>
      </c>
      <c r="P200" s="55" t="n"/>
      <c r="Q200" s="63" t="str">
        <f>IF(OR(B200="",N(D200)&lt;=0),"",MIN(1,N(P200)/D200))</f>
        <v/>
      </c>
      <c r="R200" s="64" t="str">
        <f>IF(OR(J200="",ISNA(MATCH(I200,po_code,0))),"",ROUND(J200*N(INDEX(po_rate,MATCH(I200,po_code,0))),2))</f>
        <v/>
      </c>
      <c r="S200" s="58" t="str">
        <f>IF(AND(A200="",B200=""),"",IF(B200="","Référence manquante",IF(ISNA(MATCH($B200,art_ref,0)),"Référence inconnue",IF(N(D200)&lt;=0,"Quantité invalide",IF(AND(A200&lt;&gt;"",COUNTIF(of_num,A200)&gt;1),"N° OF en double",IF(G200="Annulé","OK",IF(I200="","Poste manquant (gamme)",IF(ISNA(MATCH(I200,po_code,0)),"Poste inconnu",IF(K200="","Capacité du poste nulle",IF(AND(H200&lt;&gt;"",N(H200)=0),"Début imposé invalide",IF(AND(N(H200)&gt;0,WORKDAY.INTL(H200-1,1,p_weekend,p_holidays)&lt;&gt;H200),"Début un jour chômé",IF(AND(N(H200)&gt;0,H200&lt;=SUMPRODUCT(MAX(($I$6:$I199=$I200)*$M$6:$M199))),"Chevauche l'OF précédent",IF(N(F200)=0,"Date de besoin manquante","OK")))))))))))))</f>
        <v/>
      </c>
      <c r="T200" s="65" t="str">
        <f>IF(K200="","",J200/K200)</f>
        <v/>
      </c>
      <c r="U200" s="66" t="str">
        <f>IF(OR(O200="En retard",O200="Juste"),COUNTIF($O$6:O200,"En retard")+COUNTIF($O$6:O200,"Juste"),"")</f>
        <v/>
      </c>
    </row>
    <row r="201">
      <c r="A201" s="53" t="n"/>
      <c r="B201" s="53" t="n"/>
      <c r="C201" s="54" t="str">
        <f>IF(B201="","",IFERROR(INDEX(art_des,MATCH($B201,art_ref,0)),"Référence inconnue"))</f>
        <v/>
      </c>
      <c r="D201" s="55" t="n"/>
      <c r="E201" s="53" t="n"/>
      <c r="F201" s="56" t="n"/>
      <c r="G201" s="57" t="n"/>
      <c r="H201" s="56" t="n"/>
      <c r="I201" s="58" t="str">
        <f>IF(B201="","",IFERROR(INDEX(art_poste,MATCH($B201,art_ref,0))&amp;"",""))</f>
        <v/>
      </c>
      <c r="J201" s="59" t="str">
        <f>IF(OR(B201="",G201="Annulé",N(D201)&lt;=0),"",IFERROR(ROUND(INDEX(art_setup,MATCH($B201,art_ref,0))+D201*INDEX(art_cycle,MATCH($B201,art_ref,0))/60,2),""))</f>
        <v/>
      </c>
      <c r="K201" s="60" t="str">
        <f>IF(J201="","",IFERROR(MAX(1,ROUNDUP(J201/INDEX(po_cap,MATCH(I201,po_code,0)),0)),""))</f>
        <v/>
      </c>
      <c r="L201" s="61">
        <f>IF(K201="",0,IF(N(H201)&gt;0,H201,WORKDAY.INTL(MAX(p_start-1,SUMPRODUCT(MAX(($I$6:$I200=$I201)*$M$6:$M200))),1,p_weekend,p_holidays)))</f>
        <v>0.0</v>
      </c>
      <c r="M201" s="61">
        <f>IF(K201="",0,WORKDAY.INTL(L201,K201-1,p_weekend,p_holidays))</f>
        <v>0.0</v>
      </c>
      <c r="N201" s="62" t="str">
        <f>IF(OR(M201=0,N(F201)=0,G201="Terminé"),"",F201-M201)</f>
        <v/>
      </c>
      <c r="O201" s="58" t="str">
        <f>IF(B201="","",IF(G201="Annulé","Annulé",IF(G201="Terminé","Terminé",IF(M201=0,"À compléter",IF(N(F201)=0,"Sans échéance",IF(M201&gt;F201,"En retard",IF(F201-M201&lt;=p_margin,"Juste","À l'heure")))))))</f>
        <v/>
      </c>
      <c r="P201" s="55" t="n"/>
      <c r="Q201" s="63" t="str">
        <f>IF(OR(B201="",N(D201)&lt;=0),"",MIN(1,N(P201)/D201))</f>
        <v/>
      </c>
      <c r="R201" s="64" t="str">
        <f>IF(OR(J201="",ISNA(MATCH(I201,po_code,0))),"",ROUND(J201*N(INDEX(po_rate,MATCH(I201,po_code,0))),2))</f>
        <v/>
      </c>
      <c r="S201" s="58" t="str">
        <f>IF(AND(A201="",B201=""),"",IF(B201="","Référence manquante",IF(ISNA(MATCH($B201,art_ref,0)),"Référence inconnue",IF(N(D201)&lt;=0,"Quantité invalide",IF(AND(A201&lt;&gt;"",COUNTIF(of_num,A201)&gt;1),"N° OF en double",IF(G201="Annulé","OK",IF(I201="","Poste manquant (gamme)",IF(ISNA(MATCH(I201,po_code,0)),"Poste inconnu",IF(K201="","Capacité du poste nulle",IF(AND(H201&lt;&gt;"",N(H201)=0),"Début imposé invalide",IF(AND(N(H201)&gt;0,WORKDAY.INTL(H201-1,1,p_weekend,p_holidays)&lt;&gt;H201),"Début un jour chômé",IF(AND(N(H201)&gt;0,H201&lt;=SUMPRODUCT(MAX(($I$6:$I200=$I201)*$M$6:$M200))),"Chevauche l'OF précédent",IF(N(F201)=0,"Date de besoin manquante","OK")))))))))))))</f>
        <v/>
      </c>
      <c r="T201" s="65" t="str">
        <f>IF(K201="","",J201/K201)</f>
        <v/>
      </c>
      <c r="U201" s="66" t="str">
        <f>IF(OR(O201="En retard",O201="Juste"),COUNTIF($O$6:O201,"En retard")+COUNTIF($O$6:O201,"Juste"),"")</f>
        <v/>
      </c>
    </row>
    <row r="202">
      <c r="A202" s="53" t="n"/>
      <c r="B202" s="53" t="n"/>
      <c r="C202" s="54" t="str">
        <f>IF(B202="","",IFERROR(INDEX(art_des,MATCH($B202,art_ref,0)),"Référence inconnue"))</f>
        <v/>
      </c>
      <c r="D202" s="55" t="n"/>
      <c r="E202" s="53" t="n"/>
      <c r="F202" s="56" t="n"/>
      <c r="G202" s="57" t="n"/>
      <c r="H202" s="56" t="n"/>
      <c r="I202" s="58" t="str">
        <f>IF(B202="","",IFERROR(INDEX(art_poste,MATCH($B202,art_ref,0))&amp;"",""))</f>
        <v/>
      </c>
      <c r="J202" s="59" t="str">
        <f>IF(OR(B202="",G202="Annulé",N(D202)&lt;=0),"",IFERROR(ROUND(INDEX(art_setup,MATCH($B202,art_ref,0))+D202*INDEX(art_cycle,MATCH($B202,art_ref,0))/60,2),""))</f>
        <v/>
      </c>
      <c r="K202" s="60" t="str">
        <f>IF(J202="","",IFERROR(MAX(1,ROUNDUP(J202/INDEX(po_cap,MATCH(I202,po_code,0)),0)),""))</f>
        <v/>
      </c>
      <c r="L202" s="61">
        <f>IF(K202="",0,IF(N(H202)&gt;0,H202,WORKDAY.INTL(MAX(p_start-1,SUMPRODUCT(MAX(($I$6:$I201=$I202)*$M$6:$M201))),1,p_weekend,p_holidays)))</f>
        <v>0.0</v>
      </c>
      <c r="M202" s="61">
        <f>IF(K202="",0,WORKDAY.INTL(L202,K202-1,p_weekend,p_holidays))</f>
        <v>0.0</v>
      </c>
      <c r="N202" s="62" t="str">
        <f>IF(OR(M202=0,N(F202)=0,G202="Terminé"),"",F202-M202)</f>
        <v/>
      </c>
      <c r="O202" s="58" t="str">
        <f>IF(B202="","",IF(G202="Annulé","Annulé",IF(G202="Terminé","Terminé",IF(M202=0,"À compléter",IF(N(F202)=0,"Sans échéance",IF(M202&gt;F202,"En retard",IF(F202-M202&lt;=p_margin,"Juste","À l'heure")))))))</f>
        <v/>
      </c>
      <c r="P202" s="55" t="n"/>
      <c r="Q202" s="63" t="str">
        <f>IF(OR(B202="",N(D202)&lt;=0),"",MIN(1,N(P202)/D202))</f>
        <v/>
      </c>
      <c r="R202" s="64" t="str">
        <f>IF(OR(J202="",ISNA(MATCH(I202,po_code,0))),"",ROUND(J202*N(INDEX(po_rate,MATCH(I202,po_code,0))),2))</f>
        <v/>
      </c>
      <c r="S202" s="58" t="str">
        <f>IF(AND(A202="",B202=""),"",IF(B202="","Référence manquante",IF(ISNA(MATCH($B202,art_ref,0)),"Référence inconnue",IF(N(D202)&lt;=0,"Quantité invalide",IF(AND(A202&lt;&gt;"",COUNTIF(of_num,A202)&gt;1),"N° OF en double",IF(G202="Annulé","OK",IF(I202="","Poste manquant (gamme)",IF(ISNA(MATCH(I202,po_code,0)),"Poste inconnu",IF(K202="","Capacité du poste nulle",IF(AND(H202&lt;&gt;"",N(H202)=0),"Début imposé invalide",IF(AND(N(H202)&gt;0,WORKDAY.INTL(H202-1,1,p_weekend,p_holidays)&lt;&gt;H202),"Début un jour chômé",IF(AND(N(H202)&gt;0,H202&lt;=SUMPRODUCT(MAX(($I$6:$I201=$I202)*$M$6:$M201))),"Chevauche l'OF précédent",IF(N(F202)=0,"Date de besoin manquante","OK")))))))))))))</f>
        <v/>
      </c>
      <c r="T202" s="65" t="str">
        <f>IF(K202="","",J202/K202)</f>
        <v/>
      </c>
      <c r="U202" s="66" t="str">
        <f>IF(OR(O202="En retard",O202="Juste"),COUNTIF($O$6:O202,"En retard")+COUNTIF($O$6:O202,"Juste"),"")</f>
        <v/>
      </c>
    </row>
    <row r="203">
      <c r="A203" s="53" t="n"/>
      <c r="B203" s="53" t="n"/>
      <c r="C203" s="54" t="str">
        <f>IF(B203="","",IFERROR(INDEX(art_des,MATCH($B203,art_ref,0)),"Référence inconnue"))</f>
        <v/>
      </c>
      <c r="D203" s="55" t="n"/>
      <c r="E203" s="53" t="n"/>
      <c r="F203" s="56" t="n"/>
      <c r="G203" s="57" t="n"/>
      <c r="H203" s="56" t="n"/>
      <c r="I203" s="58" t="str">
        <f>IF(B203="","",IFERROR(INDEX(art_poste,MATCH($B203,art_ref,0))&amp;"",""))</f>
        <v/>
      </c>
      <c r="J203" s="59" t="str">
        <f>IF(OR(B203="",G203="Annulé",N(D203)&lt;=0),"",IFERROR(ROUND(INDEX(art_setup,MATCH($B203,art_ref,0))+D203*INDEX(art_cycle,MATCH($B203,art_ref,0))/60,2),""))</f>
        <v/>
      </c>
      <c r="K203" s="60" t="str">
        <f>IF(J203="","",IFERROR(MAX(1,ROUNDUP(J203/INDEX(po_cap,MATCH(I203,po_code,0)),0)),""))</f>
        <v/>
      </c>
      <c r="L203" s="61">
        <f>IF(K203="",0,IF(N(H203)&gt;0,H203,WORKDAY.INTL(MAX(p_start-1,SUMPRODUCT(MAX(($I$6:$I202=$I203)*$M$6:$M202))),1,p_weekend,p_holidays)))</f>
        <v>0.0</v>
      </c>
      <c r="M203" s="61">
        <f>IF(K203="",0,WORKDAY.INTL(L203,K203-1,p_weekend,p_holidays))</f>
        <v>0.0</v>
      </c>
      <c r="N203" s="62" t="str">
        <f>IF(OR(M203=0,N(F203)=0,G203="Terminé"),"",F203-M203)</f>
        <v/>
      </c>
      <c r="O203" s="58" t="str">
        <f>IF(B203="","",IF(G203="Annulé","Annulé",IF(G203="Terminé","Terminé",IF(M203=0,"À compléter",IF(N(F203)=0,"Sans échéance",IF(M203&gt;F203,"En retard",IF(F203-M203&lt;=p_margin,"Juste","À l'heure")))))))</f>
        <v/>
      </c>
      <c r="P203" s="55" t="n"/>
      <c r="Q203" s="63" t="str">
        <f>IF(OR(B203="",N(D203)&lt;=0),"",MIN(1,N(P203)/D203))</f>
        <v/>
      </c>
      <c r="R203" s="64" t="str">
        <f>IF(OR(J203="",ISNA(MATCH(I203,po_code,0))),"",ROUND(J203*N(INDEX(po_rate,MATCH(I203,po_code,0))),2))</f>
        <v/>
      </c>
      <c r="S203" s="58" t="str">
        <f>IF(AND(A203="",B203=""),"",IF(B203="","Référence manquante",IF(ISNA(MATCH($B203,art_ref,0)),"Référence inconnue",IF(N(D203)&lt;=0,"Quantité invalide",IF(AND(A203&lt;&gt;"",COUNTIF(of_num,A203)&gt;1),"N° OF en double",IF(G203="Annulé","OK",IF(I203="","Poste manquant (gamme)",IF(ISNA(MATCH(I203,po_code,0)),"Poste inconnu",IF(K203="","Capacité du poste nulle",IF(AND(H203&lt;&gt;"",N(H203)=0),"Début imposé invalide",IF(AND(N(H203)&gt;0,WORKDAY.INTL(H203-1,1,p_weekend,p_holidays)&lt;&gt;H203),"Début un jour chômé",IF(AND(N(H203)&gt;0,H203&lt;=SUMPRODUCT(MAX(($I$6:$I202=$I203)*$M$6:$M202))),"Chevauche l'OF précédent",IF(N(F203)=0,"Date de besoin manquante","OK")))))))))))))</f>
        <v/>
      </c>
      <c r="T203" s="65" t="str">
        <f>IF(K203="","",J203/K203)</f>
        <v/>
      </c>
      <c r="U203" s="66" t="str">
        <f>IF(OR(O203="En retard",O203="Juste"),COUNTIF($O$6:O203,"En retard")+COUNTIF($O$6:O203,"Juste"),"")</f>
        <v/>
      </c>
    </row>
    <row r="204">
      <c r="A204" s="53" t="n"/>
      <c r="B204" s="53" t="n"/>
      <c r="C204" s="54" t="str">
        <f>IF(B204="","",IFERROR(INDEX(art_des,MATCH($B204,art_ref,0)),"Référence inconnue"))</f>
        <v/>
      </c>
      <c r="D204" s="55" t="n"/>
      <c r="E204" s="53" t="n"/>
      <c r="F204" s="56" t="n"/>
      <c r="G204" s="57" t="n"/>
      <c r="H204" s="56" t="n"/>
      <c r="I204" s="58" t="str">
        <f>IF(B204="","",IFERROR(INDEX(art_poste,MATCH($B204,art_ref,0))&amp;"",""))</f>
        <v/>
      </c>
      <c r="J204" s="59" t="str">
        <f>IF(OR(B204="",G204="Annulé",N(D204)&lt;=0),"",IFERROR(ROUND(INDEX(art_setup,MATCH($B204,art_ref,0))+D204*INDEX(art_cycle,MATCH($B204,art_ref,0))/60,2),""))</f>
        <v/>
      </c>
      <c r="K204" s="60" t="str">
        <f>IF(J204="","",IFERROR(MAX(1,ROUNDUP(J204/INDEX(po_cap,MATCH(I204,po_code,0)),0)),""))</f>
        <v/>
      </c>
      <c r="L204" s="61">
        <f>IF(K204="",0,IF(N(H204)&gt;0,H204,WORKDAY.INTL(MAX(p_start-1,SUMPRODUCT(MAX(($I$6:$I203=$I204)*$M$6:$M203))),1,p_weekend,p_holidays)))</f>
        <v>0.0</v>
      </c>
      <c r="M204" s="61">
        <f>IF(K204="",0,WORKDAY.INTL(L204,K204-1,p_weekend,p_holidays))</f>
        <v>0.0</v>
      </c>
      <c r="N204" s="62" t="str">
        <f>IF(OR(M204=0,N(F204)=0,G204="Terminé"),"",F204-M204)</f>
        <v/>
      </c>
      <c r="O204" s="58" t="str">
        <f>IF(B204="","",IF(G204="Annulé","Annulé",IF(G204="Terminé","Terminé",IF(M204=0,"À compléter",IF(N(F204)=0,"Sans échéance",IF(M204&gt;F204,"En retard",IF(F204-M204&lt;=p_margin,"Juste","À l'heure")))))))</f>
        <v/>
      </c>
      <c r="P204" s="55" t="n"/>
      <c r="Q204" s="63" t="str">
        <f>IF(OR(B204="",N(D204)&lt;=0),"",MIN(1,N(P204)/D204))</f>
        <v/>
      </c>
      <c r="R204" s="64" t="str">
        <f>IF(OR(J204="",ISNA(MATCH(I204,po_code,0))),"",ROUND(J204*N(INDEX(po_rate,MATCH(I204,po_code,0))),2))</f>
        <v/>
      </c>
      <c r="S204" s="58" t="str">
        <f>IF(AND(A204="",B204=""),"",IF(B204="","Référence manquante",IF(ISNA(MATCH($B204,art_ref,0)),"Référence inconnue",IF(N(D204)&lt;=0,"Quantité invalide",IF(AND(A204&lt;&gt;"",COUNTIF(of_num,A204)&gt;1),"N° OF en double",IF(G204="Annulé","OK",IF(I204="","Poste manquant (gamme)",IF(ISNA(MATCH(I204,po_code,0)),"Poste inconnu",IF(K204="","Capacité du poste nulle",IF(AND(H204&lt;&gt;"",N(H204)=0),"Début imposé invalide",IF(AND(N(H204)&gt;0,WORKDAY.INTL(H204-1,1,p_weekend,p_holidays)&lt;&gt;H204),"Début un jour chômé",IF(AND(N(H204)&gt;0,H204&lt;=SUMPRODUCT(MAX(($I$6:$I203=$I204)*$M$6:$M203))),"Chevauche l'OF précédent",IF(N(F204)=0,"Date de besoin manquante","OK")))))))))))))</f>
        <v/>
      </c>
      <c r="T204" s="65" t="str">
        <f>IF(K204="","",J204/K204)</f>
        <v/>
      </c>
      <c r="U204" s="66" t="str">
        <f>IF(OR(O204="En retard",O204="Juste"),COUNTIF($O$6:O204,"En retard")+COUNTIF($O$6:O204,"Juste"),"")</f>
        <v/>
      </c>
    </row>
    <row r="205">
      <c r="A205" s="53" t="n"/>
      <c r="B205" s="53" t="n"/>
      <c r="C205" s="54" t="str">
        <f>IF(B205="","",IFERROR(INDEX(art_des,MATCH($B205,art_ref,0)),"Référence inconnue"))</f>
        <v/>
      </c>
      <c r="D205" s="55" t="n"/>
      <c r="E205" s="53" t="n"/>
      <c r="F205" s="56" t="n"/>
      <c r="G205" s="57" t="n"/>
      <c r="H205" s="56" t="n"/>
      <c r="I205" s="58" t="str">
        <f>IF(B205="","",IFERROR(INDEX(art_poste,MATCH($B205,art_ref,0))&amp;"",""))</f>
        <v/>
      </c>
      <c r="J205" s="59" t="str">
        <f>IF(OR(B205="",G205="Annulé",N(D205)&lt;=0),"",IFERROR(ROUND(INDEX(art_setup,MATCH($B205,art_ref,0))+D205*INDEX(art_cycle,MATCH($B205,art_ref,0))/60,2),""))</f>
        <v/>
      </c>
      <c r="K205" s="60" t="str">
        <f>IF(J205="","",IFERROR(MAX(1,ROUNDUP(J205/INDEX(po_cap,MATCH(I205,po_code,0)),0)),""))</f>
        <v/>
      </c>
      <c r="L205" s="61">
        <f>IF(K205="",0,IF(N(H205)&gt;0,H205,WORKDAY.INTL(MAX(p_start-1,SUMPRODUCT(MAX(($I$6:$I204=$I205)*$M$6:$M204))),1,p_weekend,p_holidays)))</f>
        <v>0.0</v>
      </c>
      <c r="M205" s="61">
        <f>IF(K205="",0,WORKDAY.INTL(L205,K205-1,p_weekend,p_holidays))</f>
        <v>0.0</v>
      </c>
      <c r="N205" s="62" t="str">
        <f>IF(OR(M205=0,N(F205)=0,G205="Terminé"),"",F205-M205)</f>
        <v/>
      </c>
      <c r="O205" s="58" t="str">
        <f>IF(B205="","",IF(G205="Annulé","Annulé",IF(G205="Terminé","Terminé",IF(M205=0,"À compléter",IF(N(F205)=0,"Sans échéance",IF(M205&gt;F205,"En retard",IF(F205-M205&lt;=p_margin,"Juste","À l'heure")))))))</f>
        <v/>
      </c>
      <c r="P205" s="55" t="n"/>
      <c r="Q205" s="63" t="str">
        <f>IF(OR(B205="",N(D205)&lt;=0),"",MIN(1,N(P205)/D205))</f>
        <v/>
      </c>
      <c r="R205" s="64" t="str">
        <f>IF(OR(J205="",ISNA(MATCH(I205,po_code,0))),"",ROUND(J205*N(INDEX(po_rate,MATCH(I205,po_code,0))),2))</f>
        <v/>
      </c>
      <c r="S205" s="58" t="str">
        <f>IF(AND(A205="",B205=""),"",IF(B205="","Référence manquante",IF(ISNA(MATCH($B205,art_ref,0)),"Référence inconnue",IF(N(D205)&lt;=0,"Quantité invalide",IF(AND(A205&lt;&gt;"",COUNTIF(of_num,A205)&gt;1),"N° OF en double",IF(G205="Annulé","OK",IF(I205="","Poste manquant (gamme)",IF(ISNA(MATCH(I205,po_code,0)),"Poste inconnu",IF(K205="","Capacité du poste nulle",IF(AND(H205&lt;&gt;"",N(H205)=0),"Début imposé invalide",IF(AND(N(H205)&gt;0,WORKDAY.INTL(H205-1,1,p_weekend,p_holidays)&lt;&gt;H205),"Début un jour chômé",IF(AND(N(H205)&gt;0,H205&lt;=SUMPRODUCT(MAX(($I$6:$I204=$I205)*$M$6:$M204))),"Chevauche l'OF précédent",IF(N(F205)=0,"Date de besoin manquante","OK")))))))))))))</f>
        <v/>
      </c>
      <c r="T205" s="65" t="str">
        <f>IF(K205="","",J205/K205)</f>
        <v/>
      </c>
      <c r="U205" s="66" t="str">
        <f>IF(OR(O205="En retard",O205="Juste"),COUNTIF($O$6:O205,"En retard")+COUNTIF($O$6:O205,"Juste"),"")</f>
        <v/>
      </c>
    </row>
    <row r="206">
      <c r="A206" s="53" t="n"/>
      <c r="B206" s="53" t="n"/>
      <c r="C206" s="54" t="str">
        <f>IF(B206="","",IFERROR(INDEX(art_des,MATCH($B206,art_ref,0)),"Référence inconnue"))</f>
        <v/>
      </c>
      <c r="D206" s="55" t="n"/>
      <c r="E206" s="53" t="n"/>
      <c r="F206" s="56" t="n"/>
      <c r="G206" s="57" t="n"/>
      <c r="H206" s="56" t="n"/>
      <c r="I206" s="58" t="str">
        <f>IF(B206="","",IFERROR(INDEX(art_poste,MATCH($B206,art_ref,0))&amp;"",""))</f>
        <v/>
      </c>
      <c r="J206" s="59" t="str">
        <f>IF(OR(B206="",G206="Annulé",N(D206)&lt;=0),"",IFERROR(ROUND(INDEX(art_setup,MATCH($B206,art_ref,0))+D206*INDEX(art_cycle,MATCH($B206,art_ref,0))/60,2),""))</f>
        <v/>
      </c>
      <c r="K206" s="60" t="str">
        <f>IF(J206="","",IFERROR(MAX(1,ROUNDUP(J206/INDEX(po_cap,MATCH(I206,po_code,0)),0)),""))</f>
        <v/>
      </c>
      <c r="L206" s="61">
        <f>IF(K206="",0,IF(N(H206)&gt;0,H206,WORKDAY.INTL(MAX(p_start-1,SUMPRODUCT(MAX(($I$6:$I205=$I206)*$M$6:$M205))),1,p_weekend,p_holidays)))</f>
        <v>0.0</v>
      </c>
      <c r="M206" s="61">
        <f>IF(K206="",0,WORKDAY.INTL(L206,K206-1,p_weekend,p_holidays))</f>
        <v>0.0</v>
      </c>
      <c r="N206" s="62" t="str">
        <f>IF(OR(M206=0,N(F206)=0,G206="Terminé"),"",F206-M206)</f>
        <v/>
      </c>
      <c r="O206" s="58" t="str">
        <f>IF(B206="","",IF(G206="Annulé","Annulé",IF(G206="Terminé","Terminé",IF(M206=0,"À compléter",IF(N(F206)=0,"Sans échéance",IF(M206&gt;F206,"En retard",IF(F206-M206&lt;=p_margin,"Juste","À l'heure")))))))</f>
        <v/>
      </c>
      <c r="P206" s="55" t="n"/>
      <c r="Q206" s="63" t="str">
        <f>IF(OR(B206="",N(D206)&lt;=0),"",MIN(1,N(P206)/D206))</f>
        <v/>
      </c>
      <c r="R206" s="64" t="str">
        <f>IF(OR(J206="",ISNA(MATCH(I206,po_code,0))),"",ROUND(J206*N(INDEX(po_rate,MATCH(I206,po_code,0))),2))</f>
        <v/>
      </c>
      <c r="S206" s="58" t="str">
        <f>IF(AND(A206="",B206=""),"",IF(B206="","Référence manquante",IF(ISNA(MATCH($B206,art_ref,0)),"Référence inconnue",IF(N(D206)&lt;=0,"Quantité invalide",IF(AND(A206&lt;&gt;"",COUNTIF(of_num,A206)&gt;1),"N° OF en double",IF(G206="Annulé","OK",IF(I206="","Poste manquant (gamme)",IF(ISNA(MATCH(I206,po_code,0)),"Poste inconnu",IF(K206="","Capacité du poste nulle",IF(AND(H206&lt;&gt;"",N(H206)=0),"Début imposé invalide",IF(AND(N(H206)&gt;0,WORKDAY.INTL(H206-1,1,p_weekend,p_holidays)&lt;&gt;H206),"Début un jour chômé",IF(AND(N(H206)&gt;0,H206&lt;=SUMPRODUCT(MAX(($I$6:$I205=$I206)*$M$6:$M205))),"Chevauche l'OF précédent",IF(N(F206)=0,"Date de besoin manquante","OK")))))))))))))</f>
        <v/>
      </c>
      <c r="T206" s="65" t="str">
        <f>IF(K206="","",J206/K206)</f>
        <v/>
      </c>
      <c r="U206" s="66" t="str">
        <f>IF(OR(O206="En retard",O206="Juste"),COUNTIF($O$6:O206,"En retard")+COUNTIF($O$6:O206,"Juste"),"")</f>
        <v/>
      </c>
    </row>
    <row r="207">
      <c r="A207" s="53" t="n"/>
      <c r="B207" s="53" t="n"/>
      <c r="C207" s="54" t="str">
        <f>IF(B207="","",IFERROR(INDEX(art_des,MATCH($B207,art_ref,0)),"Référence inconnue"))</f>
        <v/>
      </c>
      <c r="D207" s="55" t="n"/>
      <c r="E207" s="53" t="n"/>
      <c r="F207" s="56" t="n"/>
      <c r="G207" s="57" t="n"/>
      <c r="H207" s="56" t="n"/>
      <c r="I207" s="58" t="str">
        <f>IF(B207="","",IFERROR(INDEX(art_poste,MATCH($B207,art_ref,0))&amp;"",""))</f>
        <v/>
      </c>
      <c r="J207" s="59" t="str">
        <f>IF(OR(B207="",G207="Annulé",N(D207)&lt;=0),"",IFERROR(ROUND(INDEX(art_setup,MATCH($B207,art_ref,0))+D207*INDEX(art_cycle,MATCH($B207,art_ref,0))/60,2),""))</f>
        <v/>
      </c>
      <c r="K207" s="60" t="str">
        <f>IF(J207="","",IFERROR(MAX(1,ROUNDUP(J207/INDEX(po_cap,MATCH(I207,po_code,0)),0)),""))</f>
        <v/>
      </c>
      <c r="L207" s="61">
        <f>IF(K207="",0,IF(N(H207)&gt;0,H207,WORKDAY.INTL(MAX(p_start-1,SUMPRODUCT(MAX(($I$6:$I206=$I207)*$M$6:$M206))),1,p_weekend,p_holidays)))</f>
        <v>0.0</v>
      </c>
      <c r="M207" s="61">
        <f>IF(K207="",0,WORKDAY.INTL(L207,K207-1,p_weekend,p_holidays))</f>
        <v>0.0</v>
      </c>
      <c r="N207" s="62" t="str">
        <f>IF(OR(M207=0,N(F207)=0,G207="Terminé"),"",F207-M207)</f>
        <v/>
      </c>
      <c r="O207" s="58" t="str">
        <f>IF(B207="","",IF(G207="Annulé","Annulé",IF(G207="Terminé","Terminé",IF(M207=0,"À compléter",IF(N(F207)=0,"Sans échéance",IF(M207&gt;F207,"En retard",IF(F207-M207&lt;=p_margin,"Juste","À l'heure")))))))</f>
        <v/>
      </c>
      <c r="P207" s="55" t="n"/>
      <c r="Q207" s="63" t="str">
        <f>IF(OR(B207="",N(D207)&lt;=0),"",MIN(1,N(P207)/D207))</f>
        <v/>
      </c>
      <c r="R207" s="64" t="str">
        <f>IF(OR(J207="",ISNA(MATCH(I207,po_code,0))),"",ROUND(J207*N(INDEX(po_rate,MATCH(I207,po_code,0))),2))</f>
        <v/>
      </c>
      <c r="S207" s="58" t="str">
        <f>IF(AND(A207="",B207=""),"",IF(B207="","Référence manquante",IF(ISNA(MATCH($B207,art_ref,0)),"Référence inconnue",IF(N(D207)&lt;=0,"Quantité invalide",IF(AND(A207&lt;&gt;"",COUNTIF(of_num,A207)&gt;1),"N° OF en double",IF(G207="Annulé","OK",IF(I207="","Poste manquant (gamme)",IF(ISNA(MATCH(I207,po_code,0)),"Poste inconnu",IF(K207="","Capacité du poste nulle",IF(AND(H207&lt;&gt;"",N(H207)=0),"Début imposé invalide",IF(AND(N(H207)&gt;0,WORKDAY.INTL(H207-1,1,p_weekend,p_holidays)&lt;&gt;H207),"Début un jour chômé",IF(AND(N(H207)&gt;0,H207&lt;=SUMPRODUCT(MAX(($I$6:$I206=$I207)*$M$6:$M206))),"Chevauche l'OF précédent",IF(N(F207)=0,"Date de besoin manquante","OK")))))))))))))</f>
        <v/>
      </c>
      <c r="T207" s="65" t="str">
        <f>IF(K207="","",J207/K207)</f>
        <v/>
      </c>
      <c r="U207" s="66" t="str">
        <f>IF(OR(O207="En retard",O207="Juste"),COUNTIF($O$6:O207,"En retard")+COUNTIF($O$6:O207,"Juste"),"")</f>
        <v/>
      </c>
    </row>
    <row r="208">
      <c r="A208" s="53" t="n"/>
      <c r="B208" s="53" t="n"/>
      <c r="C208" s="54" t="str">
        <f>IF(B208="","",IFERROR(INDEX(art_des,MATCH($B208,art_ref,0)),"Référence inconnue"))</f>
        <v/>
      </c>
      <c r="D208" s="55" t="n"/>
      <c r="E208" s="53" t="n"/>
      <c r="F208" s="56" t="n"/>
      <c r="G208" s="57" t="n"/>
      <c r="H208" s="56" t="n"/>
      <c r="I208" s="58" t="str">
        <f>IF(B208="","",IFERROR(INDEX(art_poste,MATCH($B208,art_ref,0))&amp;"",""))</f>
        <v/>
      </c>
      <c r="J208" s="59" t="str">
        <f>IF(OR(B208="",G208="Annulé",N(D208)&lt;=0),"",IFERROR(ROUND(INDEX(art_setup,MATCH($B208,art_ref,0))+D208*INDEX(art_cycle,MATCH($B208,art_ref,0))/60,2),""))</f>
        <v/>
      </c>
      <c r="K208" s="60" t="str">
        <f>IF(J208="","",IFERROR(MAX(1,ROUNDUP(J208/INDEX(po_cap,MATCH(I208,po_code,0)),0)),""))</f>
        <v/>
      </c>
      <c r="L208" s="61">
        <f>IF(K208="",0,IF(N(H208)&gt;0,H208,WORKDAY.INTL(MAX(p_start-1,SUMPRODUCT(MAX(($I$6:$I207=$I208)*$M$6:$M207))),1,p_weekend,p_holidays)))</f>
        <v>0.0</v>
      </c>
      <c r="M208" s="61">
        <f>IF(K208="",0,WORKDAY.INTL(L208,K208-1,p_weekend,p_holidays))</f>
        <v>0.0</v>
      </c>
      <c r="N208" s="62" t="str">
        <f>IF(OR(M208=0,N(F208)=0,G208="Terminé"),"",F208-M208)</f>
        <v/>
      </c>
      <c r="O208" s="58" t="str">
        <f>IF(B208="","",IF(G208="Annulé","Annulé",IF(G208="Terminé","Terminé",IF(M208=0,"À compléter",IF(N(F208)=0,"Sans échéance",IF(M208&gt;F208,"En retard",IF(F208-M208&lt;=p_margin,"Juste","À l'heure")))))))</f>
        <v/>
      </c>
      <c r="P208" s="55" t="n"/>
      <c r="Q208" s="63" t="str">
        <f>IF(OR(B208="",N(D208)&lt;=0),"",MIN(1,N(P208)/D208))</f>
        <v/>
      </c>
      <c r="R208" s="64" t="str">
        <f>IF(OR(J208="",ISNA(MATCH(I208,po_code,0))),"",ROUND(J208*N(INDEX(po_rate,MATCH(I208,po_code,0))),2))</f>
        <v/>
      </c>
      <c r="S208" s="58" t="str">
        <f>IF(AND(A208="",B208=""),"",IF(B208="","Référence manquante",IF(ISNA(MATCH($B208,art_ref,0)),"Référence inconnue",IF(N(D208)&lt;=0,"Quantité invalide",IF(AND(A208&lt;&gt;"",COUNTIF(of_num,A208)&gt;1),"N° OF en double",IF(G208="Annulé","OK",IF(I208="","Poste manquant (gamme)",IF(ISNA(MATCH(I208,po_code,0)),"Poste inconnu",IF(K208="","Capacité du poste nulle",IF(AND(H208&lt;&gt;"",N(H208)=0),"Début imposé invalide",IF(AND(N(H208)&gt;0,WORKDAY.INTL(H208-1,1,p_weekend,p_holidays)&lt;&gt;H208),"Début un jour chômé",IF(AND(N(H208)&gt;0,H208&lt;=SUMPRODUCT(MAX(($I$6:$I207=$I208)*$M$6:$M207))),"Chevauche l'OF précédent",IF(N(F208)=0,"Date de besoin manquante","OK")))))))))))))</f>
        <v/>
      </c>
      <c r="T208" s="65" t="str">
        <f>IF(K208="","",J208/K208)</f>
        <v/>
      </c>
      <c r="U208" s="66" t="str">
        <f>IF(OR(O208="En retard",O208="Juste"),COUNTIF($O$6:O208,"En retard")+COUNTIF($O$6:O208,"Juste"),"")</f>
        <v/>
      </c>
    </row>
    <row r="209">
      <c r="A209" s="53" t="n"/>
      <c r="B209" s="53" t="n"/>
      <c r="C209" s="54" t="str">
        <f>IF(B209="","",IFERROR(INDEX(art_des,MATCH($B209,art_ref,0)),"Référence inconnue"))</f>
        <v/>
      </c>
      <c r="D209" s="55" t="n"/>
      <c r="E209" s="53" t="n"/>
      <c r="F209" s="56" t="n"/>
      <c r="G209" s="57" t="n"/>
      <c r="H209" s="56" t="n"/>
      <c r="I209" s="58" t="str">
        <f>IF(B209="","",IFERROR(INDEX(art_poste,MATCH($B209,art_ref,0))&amp;"",""))</f>
        <v/>
      </c>
      <c r="J209" s="59" t="str">
        <f>IF(OR(B209="",G209="Annulé",N(D209)&lt;=0),"",IFERROR(ROUND(INDEX(art_setup,MATCH($B209,art_ref,0))+D209*INDEX(art_cycle,MATCH($B209,art_ref,0))/60,2),""))</f>
        <v/>
      </c>
      <c r="K209" s="60" t="str">
        <f>IF(J209="","",IFERROR(MAX(1,ROUNDUP(J209/INDEX(po_cap,MATCH(I209,po_code,0)),0)),""))</f>
        <v/>
      </c>
      <c r="L209" s="61">
        <f>IF(K209="",0,IF(N(H209)&gt;0,H209,WORKDAY.INTL(MAX(p_start-1,SUMPRODUCT(MAX(($I$6:$I208=$I209)*$M$6:$M208))),1,p_weekend,p_holidays)))</f>
        <v>0.0</v>
      </c>
      <c r="M209" s="61">
        <f>IF(K209="",0,WORKDAY.INTL(L209,K209-1,p_weekend,p_holidays))</f>
        <v>0.0</v>
      </c>
      <c r="N209" s="62" t="str">
        <f>IF(OR(M209=0,N(F209)=0,G209="Terminé"),"",F209-M209)</f>
        <v/>
      </c>
      <c r="O209" s="58" t="str">
        <f>IF(B209="","",IF(G209="Annulé","Annulé",IF(G209="Terminé","Terminé",IF(M209=0,"À compléter",IF(N(F209)=0,"Sans échéance",IF(M209&gt;F209,"En retard",IF(F209-M209&lt;=p_margin,"Juste","À l'heure")))))))</f>
        <v/>
      </c>
      <c r="P209" s="55" t="n"/>
      <c r="Q209" s="63" t="str">
        <f>IF(OR(B209="",N(D209)&lt;=0),"",MIN(1,N(P209)/D209))</f>
        <v/>
      </c>
      <c r="R209" s="64" t="str">
        <f>IF(OR(J209="",ISNA(MATCH(I209,po_code,0))),"",ROUND(J209*N(INDEX(po_rate,MATCH(I209,po_code,0))),2))</f>
        <v/>
      </c>
      <c r="S209" s="58" t="str">
        <f>IF(AND(A209="",B209=""),"",IF(B209="","Référence manquante",IF(ISNA(MATCH($B209,art_ref,0)),"Référence inconnue",IF(N(D209)&lt;=0,"Quantité invalide",IF(AND(A209&lt;&gt;"",COUNTIF(of_num,A209)&gt;1),"N° OF en double",IF(G209="Annulé","OK",IF(I209="","Poste manquant (gamme)",IF(ISNA(MATCH(I209,po_code,0)),"Poste inconnu",IF(K209="","Capacité du poste nulle",IF(AND(H209&lt;&gt;"",N(H209)=0),"Début imposé invalide",IF(AND(N(H209)&gt;0,WORKDAY.INTL(H209-1,1,p_weekend,p_holidays)&lt;&gt;H209),"Début un jour chômé",IF(AND(N(H209)&gt;0,H209&lt;=SUMPRODUCT(MAX(($I$6:$I208=$I209)*$M$6:$M208))),"Chevauche l'OF précédent",IF(N(F209)=0,"Date de besoin manquante","OK")))))))))))))</f>
        <v/>
      </c>
      <c r="T209" s="65" t="str">
        <f>IF(K209="","",J209/K209)</f>
        <v/>
      </c>
      <c r="U209" s="66" t="str">
        <f>IF(OR(O209="En retard",O209="Juste"),COUNTIF($O$6:O209,"En retard")+COUNTIF($O$6:O209,"Juste"),"")</f>
        <v/>
      </c>
    </row>
    <row r="210">
      <c r="A210" s="53" t="n"/>
      <c r="B210" s="53" t="n"/>
      <c r="C210" s="54" t="str">
        <f>IF(B210="","",IFERROR(INDEX(art_des,MATCH($B210,art_ref,0)),"Référence inconnue"))</f>
        <v/>
      </c>
      <c r="D210" s="55" t="n"/>
      <c r="E210" s="53" t="n"/>
      <c r="F210" s="56" t="n"/>
      <c r="G210" s="57" t="n"/>
      <c r="H210" s="56" t="n"/>
      <c r="I210" s="58" t="str">
        <f>IF(B210="","",IFERROR(INDEX(art_poste,MATCH($B210,art_ref,0))&amp;"",""))</f>
        <v/>
      </c>
      <c r="J210" s="59" t="str">
        <f>IF(OR(B210="",G210="Annulé",N(D210)&lt;=0),"",IFERROR(ROUND(INDEX(art_setup,MATCH($B210,art_ref,0))+D210*INDEX(art_cycle,MATCH($B210,art_ref,0))/60,2),""))</f>
        <v/>
      </c>
      <c r="K210" s="60" t="str">
        <f>IF(J210="","",IFERROR(MAX(1,ROUNDUP(J210/INDEX(po_cap,MATCH(I210,po_code,0)),0)),""))</f>
        <v/>
      </c>
      <c r="L210" s="61">
        <f>IF(K210="",0,IF(N(H210)&gt;0,H210,WORKDAY.INTL(MAX(p_start-1,SUMPRODUCT(MAX(($I$6:$I209=$I210)*$M$6:$M209))),1,p_weekend,p_holidays)))</f>
        <v>0.0</v>
      </c>
      <c r="M210" s="61">
        <f>IF(K210="",0,WORKDAY.INTL(L210,K210-1,p_weekend,p_holidays))</f>
        <v>0.0</v>
      </c>
      <c r="N210" s="62" t="str">
        <f>IF(OR(M210=0,N(F210)=0,G210="Terminé"),"",F210-M210)</f>
        <v/>
      </c>
      <c r="O210" s="58" t="str">
        <f>IF(B210="","",IF(G210="Annulé","Annulé",IF(G210="Terminé","Terminé",IF(M210=0,"À compléter",IF(N(F210)=0,"Sans échéance",IF(M210&gt;F210,"En retard",IF(F210-M210&lt;=p_margin,"Juste","À l'heure")))))))</f>
        <v/>
      </c>
      <c r="P210" s="55" t="n"/>
      <c r="Q210" s="63" t="str">
        <f>IF(OR(B210="",N(D210)&lt;=0),"",MIN(1,N(P210)/D210))</f>
        <v/>
      </c>
      <c r="R210" s="64" t="str">
        <f>IF(OR(J210="",ISNA(MATCH(I210,po_code,0))),"",ROUND(J210*N(INDEX(po_rate,MATCH(I210,po_code,0))),2))</f>
        <v/>
      </c>
      <c r="S210" s="58" t="str">
        <f>IF(AND(A210="",B210=""),"",IF(B210="","Référence manquante",IF(ISNA(MATCH($B210,art_ref,0)),"Référence inconnue",IF(N(D210)&lt;=0,"Quantité invalide",IF(AND(A210&lt;&gt;"",COUNTIF(of_num,A210)&gt;1),"N° OF en double",IF(G210="Annulé","OK",IF(I210="","Poste manquant (gamme)",IF(ISNA(MATCH(I210,po_code,0)),"Poste inconnu",IF(K210="","Capacité du poste nulle",IF(AND(H210&lt;&gt;"",N(H210)=0),"Début imposé invalide",IF(AND(N(H210)&gt;0,WORKDAY.INTL(H210-1,1,p_weekend,p_holidays)&lt;&gt;H210),"Début un jour chômé",IF(AND(N(H210)&gt;0,H210&lt;=SUMPRODUCT(MAX(($I$6:$I209=$I210)*$M$6:$M209))),"Chevauche l'OF précédent",IF(N(F210)=0,"Date de besoin manquante","OK")))))))))))))</f>
        <v/>
      </c>
      <c r="T210" s="65" t="str">
        <f>IF(K210="","",J210/K210)</f>
        <v/>
      </c>
      <c r="U210" s="66" t="str">
        <f>IF(OR(O210="En retard",O210="Juste"),COUNTIF($O$6:O210,"En retard")+COUNTIF($O$6:O210,"Juste"),"")</f>
        <v/>
      </c>
    </row>
    <row r="211">
      <c r="A211" s="53" t="n"/>
      <c r="B211" s="53" t="n"/>
      <c r="C211" s="54" t="str">
        <f>IF(B211="","",IFERROR(INDEX(art_des,MATCH($B211,art_ref,0)),"Référence inconnue"))</f>
        <v/>
      </c>
      <c r="D211" s="55" t="n"/>
      <c r="E211" s="53" t="n"/>
      <c r="F211" s="56" t="n"/>
      <c r="G211" s="57" t="n"/>
      <c r="H211" s="56" t="n"/>
      <c r="I211" s="58" t="str">
        <f>IF(B211="","",IFERROR(INDEX(art_poste,MATCH($B211,art_ref,0))&amp;"",""))</f>
        <v/>
      </c>
      <c r="J211" s="59" t="str">
        <f>IF(OR(B211="",G211="Annulé",N(D211)&lt;=0),"",IFERROR(ROUND(INDEX(art_setup,MATCH($B211,art_ref,0))+D211*INDEX(art_cycle,MATCH($B211,art_ref,0))/60,2),""))</f>
        <v/>
      </c>
      <c r="K211" s="60" t="str">
        <f>IF(J211="","",IFERROR(MAX(1,ROUNDUP(J211/INDEX(po_cap,MATCH(I211,po_code,0)),0)),""))</f>
        <v/>
      </c>
      <c r="L211" s="61">
        <f>IF(K211="",0,IF(N(H211)&gt;0,H211,WORKDAY.INTL(MAX(p_start-1,SUMPRODUCT(MAX(($I$6:$I210=$I211)*$M$6:$M210))),1,p_weekend,p_holidays)))</f>
        <v>0.0</v>
      </c>
      <c r="M211" s="61">
        <f>IF(K211="",0,WORKDAY.INTL(L211,K211-1,p_weekend,p_holidays))</f>
        <v>0.0</v>
      </c>
      <c r="N211" s="62" t="str">
        <f>IF(OR(M211=0,N(F211)=0,G211="Terminé"),"",F211-M211)</f>
        <v/>
      </c>
      <c r="O211" s="58" t="str">
        <f>IF(B211="","",IF(G211="Annulé","Annulé",IF(G211="Terminé","Terminé",IF(M211=0,"À compléter",IF(N(F211)=0,"Sans échéance",IF(M211&gt;F211,"En retard",IF(F211-M211&lt;=p_margin,"Juste","À l'heure")))))))</f>
        <v/>
      </c>
      <c r="P211" s="55" t="n"/>
      <c r="Q211" s="63" t="str">
        <f>IF(OR(B211="",N(D211)&lt;=0),"",MIN(1,N(P211)/D211))</f>
        <v/>
      </c>
      <c r="R211" s="64" t="str">
        <f>IF(OR(J211="",ISNA(MATCH(I211,po_code,0))),"",ROUND(J211*N(INDEX(po_rate,MATCH(I211,po_code,0))),2))</f>
        <v/>
      </c>
      <c r="S211" s="58" t="str">
        <f>IF(AND(A211="",B211=""),"",IF(B211="","Référence manquante",IF(ISNA(MATCH($B211,art_ref,0)),"Référence inconnue",IF(N(D211)&lt;=0,"Quantité invalide",IF(AND(A211&lt;&gt;"",COUNTIF(of_num,A211)&gt;1),"N° OF en double",IF(G211="Annulé","OK",IF(I211="","Poste manquant (gamme)",IF(ISNA(MATCH(I211,po_code,0)),"Poste inconnu",IF(K211="","Capacité du poste nulle",IF(AND(H211&lt;&gt;"",N(H211)=0),"Début imposé invalide",IF(AND(N(H211)&gt;0,WORKDAY.INTL(H211-1,1,p_weekend,p_holidays)&lt;&gt;H211),"Début un jour chômé",IF(AND(N(H211)&gt;0,H211&lt;=SUMPRODUCT(MAX(($I$6:$I210=$I211)*$M$6:$M210))),"Chevauche l'OF précédent",IF(N(F211)=0,"Date de besoin manquante","OK")))))))))))))</f>
        <v/>
      </c>
      <c r="T211" s="65" t="str">
        <f>IF(K211="","",J211/K211)</f>
        <v/>
      </c>
      <c r="U211" s="66" t="str">
        <f>IF(OR(O211="En retard",O211="Juste"),COUNTIF($O$6:O211,"En retard")+COUNTIF($O$6:O211,"Juste"),"")</f>
        <v/>
      </c>
    </row>
    <row r="212">
      <c r="A212" s="53" t="n"/>
      <c r="B212" s="53" t="n"/>
      <c r="C212" s="54" t="str">
        <f>IF(B212="","",IFERROR(INDEX(art_des,MATCH($B212,art_ref,0)),"Référence inconnue"))</f>
        <v/>
      </c>
      <c r="D212" s="55" t="n"/>
      <c r="E212" s="53" t="n"/>
      <c r="F212" s="56" t="n"/>
      <c r="G212" s="57" t="n"/>
      <c r="H212" s="56" t="n"/>
      <c r="I212" s="58" t="str">
        <f>IF(B212="","",IFERROR(INDEX(art_poste,MATCH($B212,art_ref,0))&amp;"",""))</f>
        <v/>
      </c>
      <c r="J212" s="59" t="str">
        <f>IF(OR(B212="",G212="Annulé",N(D212)&lt;=0),"",IFERROR(ROUND(INDEX(art_setup,MATCH($B212,art_ref,0))+D212*INDEX(art_cycle,MATCH($B212,art_ref,0))/60,2),""))</f>
        <v/>
      </c>
      <c r="K212" s="60" t="str">
        <f>IF(J212="","",IFERROR(MAX(1,ROUNDUP(J212/INDEX(po_cap,MATCH(I212,po_code,0)),0)),""))</f>
        <v/>
      </c>
      <c r="L212" s="61">
        <f>IF(K212="",0,IF(N(H212)&gt;0,H212,WORKDAY.INTL(MAX(p_start-1,SUMPRODUCT(MAX(($I$6:$I211=$I212)*$M$6:$M211))),1,p_weekend,p_holidays)))</f>
        <v>0.0</v>
      </c>
      <c r="M212" s="61">
        <f>IF(K212="",0,WORKDAY.INTL(L212,K212-1,p_weekend,p_holidays))</f>
        <v>0.0</v>
      </c>
      <c r="N212" s="62" t="str">
        <f>IF(OR(M212=0,N(F212)=0,G212="Terminé"),"",F212-M212)</f>
        <v/>
      </c>
      <c r="O212" s="58" t="str">
        <f>IF(B212="","",IF(G212="Annulé","Annulé",IF(G212="Terminé","Terminé",IF(M212=0,"À compléter",IF(N(F212)=0,"Sans échéance",IF(M212&gt;F212,"En retard",IF(F212-M212&lt;=p_margin,"Juste","À l'heure")))))))</f>
        <v/>
      </c>
      <c r="P212" s="55" t="n"/>
      <c r="Q212" s="63" t="str">
        <f>IF(OR(B212="",N(D212)&lt;=0),"",MIN(1,N(P212)/D212))</f>
        <v/>
      </c>
      <c r="R212" s="64" t="str">
        <f>IF(OR(J212="",ISNA(MATCH(I212,po_code,0))),"",ROUND(J212*N(INDEX(po_rate,MATCH(I212,po_code,0))),2))</f>
        <v/>
      </c>
      <c r="S212" s="58" t="str">
        <f>IF(AND(A212="",B212=""),"",IF(B212="","Référence manquante",IF(ISNA(MATCH($B212,art_ref,0)),"Référence inconnue",IF(N(D212)&lt;=0,"Quantité invalide",IF(AND(A212&lt;&gt;"",COUNTIF(of_num,A212)&gt;1),"N° OF en double",IF(G212="Annulé","OK",IF(I212="","Poste manquant (gamme)",IF(ISNA(MATCH(I212,po_code,0)),"Poste inconnu",IF(K212="","Capacité du poste nulle",IF(AND(H212&lt;&gt;"",N(H212)=0),"Début imposé invalide",IF(AND(N(H212)&gt;0,WORKDAY.INTL(H212-1,1,p_weekend,p_holidays)&lt;&gt;H212),"Début un jour chômé",IF(AND(N(H212)&gt;0,H212&lt;=SUMPRODUCT(MAX(($I$6:$I211=$I212)*$M$6:$M211))),"Chevauche l'OF précédent",IF(N(F212)=0,"Date de besoin manquante","OK")))))))))))))</f>
        <v/>
      </c>
      <c r="T212" s="65" t="str">
        <f>IF(K212="","",J212/K212)</f>
        <v/>
      </c>
      <c r="U212" s="66" t="str">
        <f>IF(OR(O212="En retard",O212="Juste"),COUNTIF($O$6:O212,"En retard")+COUNTIF($O$6:O212,"Juste"),"")</f>
        <v/>
      </c>
    </row>
    <row r="213">
      <c r="A213" s="53" t="n"/>
      <c r="B213" s="53" t="n"/>
      <c r="C213" s="54" t="str">
        <f>IF(B213="","",IFERROR(INDEX(art_des,MATCH($B213,art_ref,0)),"Référence inconnue"))</f>
        <v/>
      </c>
      <c r="D213" s="55" t="n"/>
      <c r="E213" s="53" t="n"/>
      <c r="F213" s="56" t="n"/>
      <c r="G213" s="57" t="n"/>
      <c r="H213" s="56" t="n"/>
      <c r="I213" s="58" t="str">
        <f>IF(B213="","",IFERROR(INDEX(art_poste,MATCH($B213,art_ref,0))&amp;"",""))</f>
        <v/>
      </c>
      <c r="J213" s="59" t="str">
        <f>IF(OR(B213="",G213="Annulé",N(D213)&lt;=0),"",IFERROR(ROUND(INDEX(art_setup,MATCH($B213,art_ref,0))+D213*INDEX(art_cycle,MATCH($B213,art_ref,0))/60,2),""))</f>
        <v/>
      </c>
      <c r="K213" s="60" t="str">
        <f>IF(J213="","",IFERROR(MAX(1,ROUNDUP(J213/INDEX(po_cap,MATCH(I213,po_code,0)),0)),""))</f>
        <v/>
      </c>
      <c r="L213" s="61">
        <f>IF(K213="",0,IF(N(H213)&gt;0,H213,WORKDAY.INTL(MAX(p_start-1,SUMPRODUCT(MAX(($I$6:$I212=$I213)*$M$6:$M212))),1,p_weekend,p_holidays)))</f>
        <v>0.0</v>
      </c>
      <c r="M213" s="61">
        <f>IF(K213="",0,WORKDAY.INTL(L213,K213-1,p_weekend,p_holidays))</f>
        <v>0.0</v>
      </c>
      <c r="N213" s="62" t="str">
        <f>IF(OR(M213=0,N(F213)=0,G213="Terminé"),"",F213-M213)</f>
        <v/>
      </c>
      <c r="O213" s="58" t="str">
        <f>IF(B213="","",IF(G213="Annulé","Annulé",IF(G213="Terminé","Terminé",IF(M213=0,"À compléter",IF(N(F213)=0,"Sans échéance",IF(M213&gt;F213,"En retard",IF(F213-M213&lt;=p_margin,"Juste","À l'heure")))))))</f>
        <v/>
      </c>
      <c r="P213" s="55" t="n"/>
      <c r="Q213" s="63" t="str">
        <f>IF(OR(B213="",N(D213)&lt;=0),"",MIN(1,N(P213)/D213))</f>
        <v/>
      </c>
      <c r="R213" s="64" t="str">
        <f>IF(OR(J213="",ISNA(MATCH(I213,po_code,0))),"",ROUND(J213*N(INDEX(po_rate,MATCH(I213,po_code,0))),2))</f>
        <v/>
      </c>
      <c r="S213" s="58" t="str">
        <f>IF(AND(A213="",B213=""),"",IF(B213="","Référence manquante",IF(ISNA(MATCH($B213,art_ref,0)),"Référence inconnue",IF(N(D213)&lt;=0,"Quantité invalide",IF(AND(A213&lt;&gt;"",COUNTIF(of_num,A213)&gt;1),"N° OF en double",IF(G213="Annulé","OK",IF(I213="","Poste manquant (gamme)",IF(ISNA(MATCH(I213,po_code,0)),"Poste inconnu",IF(K213="","Capacité du poste nulle",IF(AND(H213&lt;&gt;"",N(H213)=0),"Début imposé invalide",IF(AND(N(H213)&gt;0,WORKDAY.INTL(H213-1,1,p_weekend,p_holidays)&lt;&gt;H213),"Début un jour chômé",IF(AND(N(H213)&gt;0,H213&lt;=SUMPRODUCT(MAX(($I$6:$I212=$I213)*$M$6:$M212))),"Chevauche l'OF précédent",IF(N(F213)=0,"Date de besoin manquante","OK")))))))))))))</f>
        <v/>
      </c>
      <c r="T213" s="65" t="str">
        <f>IF(K213="","",J213/K213)</f>
        <v/>
      </c>
      <c r="U213" s="66" t="str">
        <f>IF(OR(O213="En retard",O213="Juste"),COUNTIF($O$6:O213,"En retard")+COUNTIF($O$6:O213,"Juste"),"")</f>
        <v/>
      </c>
    </row>
    <row r="214">
      <c r="A214" s="53" t="n"/>
      <c r="B214" s="53" t="n"/>
      <c r="C214" s="54" t="str">
        <f>IF(B214="","",IFERROR(INDEX(art_des,MATCH($B214,art_ref,0)),"Référence inconnue"))</f>
        <v/>
      </c>
      <c r="D214" s="55" t="n"/>
      <c r="E214" s="53" t="n"/>
      <c r="F214" s="56" t="n"/>
      <c r="G214" s="57" t="n"/>
      <c r="H214" s="56" t="n"/>
      <c r="I214" s="58" t="str">
        <f>IF(B214="","",IFERROR(INDEX(art_poste,MATCH($B214,art_ref,0))&amp;"",""))</f>
        <v/>
      </c>
      <c r="J214" s="59" t="str">
        <f>IF(OR(B214="",G214="Annulé",N(D214)&lt;=0),"",IFERROR(ROUND(INDEX(art_setup,MATCH($B214,art_ref,0))+D214*INDEX(art_cycle,MATCH($B214,art_ref,0))/60,2),""))</f>
        <v/>
      </c>
      <c r="K214" s="60" t="str">
        <f>IF(J214="","",IFERROR(MAX(1,ROUNDUP(J214/INDEX(po_cap,MATCH(I214,po_code,0)),0)),""))</f>
        <v/>
      </c>
      <c r="L214" s="61">
        <f>IF(K214="",0,IF(N(H214)&gt;0,H214,WORKDAY.INTL(MAX(p_start-1,SUMPRODUCT(MAX(($I$6:$I213=$I214)*$M$6:$M213))),1,p_weekend,p_holidays)))</f>
        <v>0.0</v>
      </c>
      <c r="M214" s="61">
        <f>IF(K214="",0,WORKDAY.INTL(L214,K214-1,p_weekend,p_holidays))</f>
        <v>0.0</v>
      </c>
      <c r="N214" s="62" t="str">
        <f>IF(OR(M214=0,N(F214)=0,G214="Terminé"),"",F214-M214)</f>
        <v/>
      </c>
      <c r="O214" s="58" t="str">
        <f>IF(B214="","",IF(G214="Annulé","Annulé",IF(G214="Terminé","Terminé",IF(M214=0,"À compléter",IF(N(F214)=0,"Sans échéance",IF(M214&gt;F214,"En retard",IF(F214-M214&lt;=p_margin,"Juste","À l'heure")))))))</f>
        <v/>
      </c>
      <c r="P214" s="55" t="n"/>
      <c r="Q214" s="63" t="str">
        <f>IF(OR(B214="",N(D214)&lt;=0),"",MIN(1,N(P214)/D214))</f>
        <v/>
      </c>
      <c r="R214" s="64" t="str">
        <f>IF(OR(J214="",ISNA(MATCH(I214,po_code,0))),"",ROUND(J214*N(INDEX(po_rate,MATCH(I214,po_code,0))),2))</f>
        <v/>
      </c>
      <c r="S214" s="58" t="str">
        <f>IF(AND(A214="",B214=""),"",IF(B214="","Référence manquante",IF(ISNA(MATCH($B214,art_ref,0)),"Référence inconnue",IF(N(D214)&lt;=0,"Quantité invalide",IF(AND(A214&lt;&gt;"",COUNTIF(of_num,A214)&gt;1),"N° OF en double",IF(G214="Annulé","OK",IF(I214="","Poste manquant (gamme)",IF(ISNA(MATCH(I214,po_code,0)),"Poste inconnu",IF(K214="","Capacité du poste nulle",IF(AND(H214&lt;&gt;"",N(H214)=0),"Début imposé invalide",IF(AND(N(H214)&gt;0,WORKDAY.INTL(H214-1,1,p_weekend,p_holidays)&lt;&gt;H214),"Début un jour chômé",IF(AND(N(H214)&gt;0,H214&lt;=SUMPRODUCT(MAX(($I$6:$I213=$I214)*$M$6:$M213))),"Chevauche l'OF précédent",IF(N(F214)=0,"Date de besoin manquante","OK")))))))))))))</f>
        <v/>
      </c>
      <c r="T214" s="65" t="str">
        <f>IF(K214="","",J214/K214)</f>
        <v/>
      </c>
      <c r="U214" s="66" t="str">
        <f>IF(OR(O214="En retard",O214="Juste"),COUNTIF($O$6:O214,"En retard")+COUNTIF($O$6:O214,"Juste"),"")</f>
        <v/>
      </c>
    </row>
    <row r="215">
      <c r="A215" s="53" t="n"/>
      <c r="B215" s="53" t="n"/>
      <c r="C215" s="54" t="str">
        <f>IF(B215="","",IFERROR(INDEX(art_des,MATCH($B215,art_ref,0)),"Référence inconnue"))</f>
        <v/>
      </c>
      <c r="D215" s="55" t="n"/>
      <c r="E215" s="53" t="n"/>
      <c r="F215" s="56" t="n"/>
      <c r="G215" s="57" t="n"/>
      <c r="H215" s="56" t="n"/>
      <c r="I215" s="58" t="str">
        <f>IF(B215="","",IFERROR(INDEX(art_poste,MATCH($B215,art_ref,0))&amp;"",""))</f>
        <v/>
      </c>
      <c r="J215" s="59" t="str">
        <f>IF(OR(B215="",G215="Annulé",N(D215)&lt;=0),"",IFERROR(ROUND(INDEX(art_setup,MATCH($B215,art_ref,0))+D215*INDEX(art_cycle,MATCH($B215,art_ref,0))/60,2),""))</f>
        <v/>
      </c>
      <c r="K215" s="60" t="str">
        <f>IF(J215="","",IFERROR(MAX(1,ROUNDUP(J215/INDEX(po_cap,MATCH(I215,po_code,0)),0)),""))</f>
        <v/>
      </c>
      <c r="L215" s="61">
        <f>IF(K215="",0,IF(N(H215)&gt;0,H215,WORKDAY.INTL(MAX(p_start-1,SUMPRODUCT(MAX(($I$6:$I214=$I215)*$M$6:$M214))),1,p_weekend,p_holidays)))</f>
        <v>0.0</v>
      </c>
      <c r="M215" s="61">
        <f>IF(K215="",0,WORKDAY.INTL(L215,K215-1,p_weekend,p_holidays))</f>
        <v>0.0</v>
      </c>
      <c r="N215" s="62" t="str">
        <f>IF(OR(M215=0,N(F215)=0,G215="Terminé"),"",F215-M215)</f>
        <v/>
      </c>
      <c r="O215" s="58" t="str">
        <f>IF(B215="","",IF(G215="Annulé","Annulé",IF(G215="Terminé","Terminé",IF(M215=0,"À compléter",IF(N(F215)=0,"Sans échéance",IF(M215&gt;F215,"En retard",IF(F215-M215&lt;=p_margin,"Juste","À l'heure")))))))</f>
        <v/>
      </c>
      <c r="P215" s="55" t="n"/>
      <c r="Q215" s="63" t="str">
        <f>IF(OR(B215="",N(D215)&lt;=0),"",MIN(1,N(P215)/D215))</f>
        <v/>
      </c>
      <c r="R215" s="64" t="str">
        <f>IF(OR(J215="",ISNA(MATCH(I215,po_code,0))),"",ROUND(J215*N(INDEX(po_rate,MATCH(I215,po_code,0))),2))</f>
        <v/>
      </c>
      <c r="S215" s="58" t="str">
        <f>IF(AND(A215="",B215=""),"",IF(B215="","Référence manquante",IF(ISNA(MATCH($B215,art_ref,0)),"Référence inconnue",IF(N(D215)&lt;=0,"Quantité invalide",IF(AND(A215&lt;&gt;"",COUNTIF(of_num,A215)&gt;1),"N° OF en double",IF(G215="Annulé","OK",IF(I215="","Poste manquant (gamme)",IF(ISNA(MATCH(I215,po_code,0)),"Poste inconnu",IF(K215="","Capacité du poste nulle",IF(AND(H215&lt;&gt;"",N(H215)=0),"Début imposé invalide",IF(AND(N(H215)&gt;0,WORKDAY.INTL(H215-1,1,p_weekend,p_holidays)&lt;&gt;H215),"Début un jour chômé",IF(AND(N(H215)&gt;0,H215&lt;=SUMPRODUCT(MAX(($I$6:$I214=$I215)*$M$6:$M214))),"Chevauche l'OF précédent",IF(N(F215)=0,"Date de besoin manquante","OK")))))))))))))</f>
        <v/>
      </c>
      <c r="T215" s="65" t="str">
        <f>IF(K215="","",J215/K215)</f>
        <v/>
      </c>
      <c r="U215" s="66" t="str">
        <f>IF(OR(O215="En retard",O215="Juste"),COUNTIF($O$6:O215,"En retard")+COUNTIF($O$6:O215,"Juste"),"")</f>
        <v/>
      </c>
    </row>
    <row r="216">
      <c r="A216" s="53" t="n"/>
      <c r="B216" s="53" t="n"/>
      <c r="C216" s="54" t="str">
        <f>IF(B216="","",IFERROR(INDEX(art_des,MATCH($B216,art_ref,0)),"Référence inconnue"))</f>
        <v/>
      </c>
      <c r="D216" s="55" t="n"/>
      <c r="E216" s="53" t="n"/>
      <c r="F216" s="56" t="n"/>
      <c r="G216" s="57" t="n"/>
      <c r="H216" s="56" t="n"/>
      <c r="I216" s="58" t="str">
        <f>IF(B216="","",IFERROR(INDEX(art_poste,MATCH($B216,art_ref,0))&amp;"",""))</f>
        <v/>
      </c>
      <c r="J216" s="59" t="str">
        <f>IF(OR(B216="",G216="Annulé",N(D216)&lt;=0),"",IFERROR(ROUND(INDEX(art_setup,MATCH($B216,art_ref,0))+D216*INDEX(art_cycle,MATCH($B216,art_ref,0))/60,2),""))</f>
        <v/>
      </c>
      <c r="K216" s="60" t="str">
        <f>IF(J216="","",IFERROR(MAX(1,ROUNDUP(J216/INDEX(po_cap,MATCH(I216,po_code,0)),0)),""))</f>
        <v/>
      </c>
      <c r="L216" s="61">
        <f>IF(K216="",0,IF(N(H216)&gt;0,H216,WORKDAY.INTL(MAX(p_start-1,SUMPRODUCT(MAX(($I$6:$I215=$I216)*$M$6:$M215))),1,p_weekend,p_holidays)))</f>
        <v>0.0</v>
      </c>
      <c r="M216" s="61">
        <f>IF(K216="",0,WORKDAY.INTL(L216,K216-1,p_weekend,p_holidays))</f>
        <v>0.0</v>
      </c>
      <c r="N216" s="62" t="str">
        <f>IF(OR(M216=0,N(F216)=0,G216="Terminé"),"",F216-M216)</f>
        <v/>
      </c>
      <c r="O216" s="58" t="str">
        <f>IF(B216="","",IF(G216="Annulé","Annulé",IF(G216="Terminé","Terminé",IF(M216=0,"À compléter",IF(N(F216)=0,"Sans échéance",IF(M216&gt;F216,"En retard",IF(F216-M216&lt;=p_margin,"Juste","À l'heure")))))))</f>
        <v/>
      </c>
      <c r="P216" s="55" t="n"/>
      <c r="Q216" s="63" t="str">
        <f>IF(OR(B216="",N(D216)&lt;=0),"",MIN(1,N(P216)/D216))</f>
        <v/>
      </c>
      <c r="R216" s="64" t="str">
        <f>IF(OR(J216="",ISNA(MATCH(I216,po_code,0))),"",ROUND(J216*N(INDEX(po_rate,MATCH(I216,po_code,0))),2))</f>
        <v/>
      </c>
      <c r="S216" s="58" t="str">
        <f>IF(AND(A216="",B216=""),"",IF(B216="","Référence manquante",IF(ISNA(MATCH($B216,art_ref,0)),"Référence inconnue",IF(N(D216)&lt;=0,"Quantité invalide",IF(AND(A216&lt;&gt;"",COUNTIF(of_num,A216)&gt;1),"N° OF en double",IF(G216="Annulé","OK",IF(I216="","Poste manquant (gamme)",IF(ISNA(MATCH(I216,po_code,0)),"Poste inconnu",IF(K216="","Capacité du poste nulle",IF(AND(H216&lt;&gt;"",N(H216)=0),"Début imposé invalide",IF(AND(N(H216)&gt;0,WORKDAY.INTL(H216-1,1,p_weekend,p_holidays)&lt;&gt;H216),"Début un jour chômé",IF(AND(N(H216)&gt;0,H216&lt;=SUMPRODUCT(MAX(($I$6:$I215=$I216)*$M$6:$M215))),"Chevauche l'OF précédent",IF(N(F216)=0,"Date de besoin manquante","OK")))))))))))))</f>
        <v/>
      </c>
      <c r="T216" s="65" t="str">
        <f>IF(K216="","",J216/K216)</f>
        <v/>
      </c>
      <c r="U216" s="66" t="str">
        <f>IF(OR(O216="En retard",O216="Juste"),COUNTIF($O$6:O216,"En retard")+COUNTIF($O$6:O216,"Juste"),"")</f>
        <v/>
      </c>
    </row>
    <row r="217">
      <c r="A217" s="53" t="n"/>
      <c r="B217" s="53" t="n"/>
      <c r="C217" s="54" t="str">
        <f>IF(B217="","",IFERROR(INDEX(art_des,MATCH($B217,art_ref,0)),"Référence inconnue"))</f>
        <v/>
      </c>
      <c r="D217" s="55" t="n"/>
      <c r="E217" s="53" t="n"/>
      <c r="F217" s="56" t="n"/>
      <c r="G217" s="57" t="n"/>
      <c r="H217" s="56" t="n"/>
      <c r="I217" s="58" t="str">
        <f>IF(B217="","",IFERROR(INDEX(art_poste,MATCH($B217,art_ref,0))&amp;"",""))</f>
        <v/>
      </c>
      <c r="J217" s="59" t="str">
        <f>IF(OR(B217="",G217="Annulé",N(D217)&lt;=0),"",IFERROR(ROUND(INDEX(art_setup,MATCH($B217,art_ref,0))+D217*INDEX(art_cycle,MATCH($B217,art_ref,0))/60,2),""))</f>
        <v/>
      </c>
      <c r="K217" s="60" t="str">
        <f>IF(J217="","",IFERROR(MAX(1,ROUNDUP(J217/INDEX(po_cap,MATCH(I217,po_code,0)),0)),""))</f>
        <v/>
      </c>
      <c r="L217" s="61">
        <f>IF(K217="",0,IF(N(H217)&gt;0,H217,WORKDAY.INTL(MAX(p_start-1,SUMPRODUCT(MAX(($I$6:$I216=$I217)*$M$6:$M216))),1,p_weekend,p_holidays)))</f>
        <v>0.0</v>
      </c>
      <c r="M217" s="61">
        <f>IF(K217="",0,WORKDAY.INTL(L217,K217-1,p_weekend,p_holidays))</f>
        <v>0.0</v>
      </c>
      <c r="N217" s="62" t="str">
        <f>IF(OR(M217=0,N(F217)=0,G217="Terminé"),"",F217-M217)</f>
        <v/>
      </c>
      <c r="O217" s="58" t="str">
        <f>IF(B217="","",IF(G217="Annulé","Annulé",IF(G217="Terminé","Terminé",IF(M217=0,"À compléter",IF(N(F217)=0,"Sans échéance",IF(M217&gt;F217,"En retard",IF(F217-M217&lt;=p_margin,"Juste","À l'heure")))))))</f>
        <v/>
      </c>
      <c r="P217" s="55" t="n"/>
      <c r="Q217" s="63" t="str">
        <f>IF(OR(B217="",N(D217)&lt;=0),"",MIN(1,N(P217)/D217))</f>
        <v/>
      </c>
      <c r="R217" s="64" t="str">
        <f>IF(OR(J217="",ISNA(MATCH(I217,po_code,0))),"",ROUND(J217*N(INDEX(po_rate,MATCH(I217,po_code,0))),2))</f>
        <v/>
      </c>
      <c r="S217" s="58" t="str">
        <f>IF(AND(A217="",B217=""),"",IF(B217="","Référence manquante",IF(ISNA(MATCH($B217,art_ref,0)),"Référence inconnue",IF(N(D217)&lt;=0,"Quantité invalide",IF(AND(A217&lt;&gt;"",COUNTIF(of_num,A217)&gt;1),"N° OF en double",IF(G217="Annulé","OK",IF(I217="","Poste manquant (gamme)",IF(ISNA(MATCH(I217,po_code,0)),"Poste inconnu",IF(K217="","Capacité du poste nulle",IF(AND(H217&lt;&gt;"",N(H217)=0),"Début imposé invalide",IF(AND(N(H217)&gt;0,WORKDAY.INTL(H217-1,1,p_weekend,p_holidays)&lt;&gt;H217),"Début un jour chômé",IF(AND(N(H217)&gt;0,H217&lt;=SUMPRODUCT(MAX(($I$6:$I216=$I217)*$M$6:$M216))),"Chevauche l'OF précédent",IF(N(F217)=0,"Date de besoin manquante","OK")))))))))))))</f>
        <v/>
      </c>
      <c r="T217" s="65" t="str">
        <f>IF(K217="","",J217/K217)</f>
        <v/>
      </c>
      <c r="U217" s="66" t="str">
        <f>IF(OR(O217="En retard",O217="Juste"),COUNTIF($O$6:O217,"En retard")+COUNTIF($O$6:O217,"Juste"),"")</f>
        <v/>
      </c>
    </row>
    <row r="218">
      <c r="A218" s="53" t="n"/>
      <c r="B218" s="53" t="n"/>
      <c r="C218" s="54" t="str">
        <f>IF(B218="","",IFERROR(INDEX(art_des,MATCH($B218,art_ref,0)),"Référence inconnue"))</f>
        <v/>
      </c>
      <c r="D218" s="55" t="n"/>
      <c r="E218" s="53" t="n"/>
      <c r="F218" s="56" t="n"/>
      <c r="G218" s="57" t="n"/>
      <c r="H218" s="56" t="n"/>
      <c r="I218" s="58" t="str">
        <f>IF(B218="","",IFERROR(INDEX(art_poste,MATCH($B218,art_ref,0))&amp;"",""))</f>
        <v/>
      </c>
      <c r="J218" s="59" t="str">
        <f>IF(OR(B218="",G218="Annulé",N(D218)&lt;=0),"",IFERROR(ROUND(INDEX(art_setup,MATCH($B218,art_ref,0))+D218*INDEX(art_cycle,MATCH($B218,art_ref,0))/60,2),""))</f>
        <v/>
      </c>
      <c r="K218" s="60" t="str">
        <f>IF(J218="","",IFERROR(MAX(1,ROUNDUP(J218/INDEX(po_cap,MATCH(I218,po_code,0)),0)),""))</f>
        <v/>
      </c>
      <c r="L218" s="61">
        <f>IF(K218="",0,IF(N(H218)&gt;0,H218,WORKDAY.INTL(MAX(p_start-1,SUMPRODUCT(MAX(($I$6:$I217=$I218)*$M$6:$M217))),1,p_weekend,p_holidays)))</f>
        <v>0.0</v>
      </c>
      <c r="M218" s="61">
        <f>IF(K218="",0,WORKDAY.INTL(L218,K218-1,p_weekend,p_holidays))</f>
        <v>0.0</v>
      </c>
      <c r="N218" s="62" t="str">
        <f>IF(OR(M218=0,N(F218)=0,G218="Terminé"),"",F218-M218)</f>
        <v/>
      </c>
      <c r="O218" s="58" t="str">
        <f>IF(B218="","",IF(G218="Annulé","Annulé",IF(G218="Terminé","Terminé",IF(M218=0,"À compléter",IF(N(F218)=0,"Sans échéance",IF(M218&gt;F218,"En retard",IF(F218-M218&lt;=p_margin,"Juste","À l'heure")))))))</f>
        <v/>
      </c>
      <c r="P218" s="55" t="n"/>
      <c r="Q218" s="63" t="str">
        <f>IF(OR(B218="",N(D218)&lt;=0),"",MIN(1,N(P218)/D218))</f>
        <v/>
      </c>
      <c r="R218" s="64" t="str">
        <f>IF(OR(J218="",ISNA(MATCH(I218,po_code,0))),"",ROUND(J218*N(INDEX(po_rate,MATCH(I218,po_code,0))),2))</f>
        <v/>
      </c>
      <c r="S218" s="58" t="str">
        <f>IF(AND(A218="",B218=""),"",IF(B218="","Référence manquante",IF(ISNA(MATCH($B218,art_ref,0)),"Référence inconnue",IF(N(D218)&lt;=0,"Quantité invalide",IF(AND(A218&lt;&gt;"",COUNTIF(of_num,A218)&gt;1),"N° OF en double",IF(G218="Annulé","OK",IF(I218="","Poste manquant (gamme)",IF(ISNA(MATCH(I218,po_code,0)),"Poste inconnu",IF(K218="","Capacité du poste nulle",IF(AND(H218&lt;&gt;"",N(H218)=0),"Début imposé invalide",IF(AND(N(H218)&gt;0,WORKDAY.INTL(H218-1,1,p_weekend,p_holidays)&lt;&gt;H218),"Début un jour chômé",IF(AND(N(H218)&gt;0,H218&lt;=SUMPRODUCT(MAX(($I$6:$I217=$I218)*$M$6:$M217))),"Chevauche l'OF précédent",IF(N(F218)=0,"Date de besoin manquante","OK")))))))))))))</f>
        <v/>
      </c>
      <c r="T218" s="65" t="str">
        <f>IF(K218="","",J218/K218)</f>
        <v/>
      </c>
      <c r="U218" s="66" t="str">
        <f>IF(OR(O218="En retard",O218="Juste"),COUNTIF($O$6:O218,"En retard")+COUNTIF($O$6:O218,"Juste"),"")</f>
        <v/>
      </c>
    </row>
    <row r="219">
      <c r="A219" s="53" t="n"/>
      <c r="B219" s="53" t="n"/>
      <c r="C219" s="54" t="str">
        <f>IF(B219="","",IFERROR(INDEX(art_des,MATCH($B219,art_ref,0)),"Référence inconnue"))</f>
        <v/>
      </c>
      <c r="D219" s="55" t="n"/>
      <c r="E219" s="53" t="n"/>
      <c r="F219" s="56" t="n"/>
      <c r="G219" s="57" t="n"/>
      <c r="H219" s="56" t="n"/>
      <c r="I219" s="58" t="str">
        <f>IF(B219="","",IFERROR(INDEX(art_poste,MATCH($B219,art_ref,0))&amp;"",""))</f>
        <v/>
      </c>
      <c r="J219" s="59" t="str">
        <f>IF(OR(B219="",G219="Annulé",N(D219)&lt;=0),"",IFERROR(ROUND(INDEX(art_setup,MATCH($B219,art_ref,0))+D219*INDEX(art_cycle,MATCH($B219,art_ref,0))/60,2),""))</f>
        <v/>
      </c>
      <c r="K219" s="60" t="str">
        <f>IF(J219="","",IFERROR(MAX(1,ROUNDUP(J219/INDEX(po_cap,MATCH(I219,po_code,0)),0)),""))</f>
        <v/>
      </c>
      <c r="L219" s="61">
        <f>IF(K219="",0,IF(N(H219)&gt;0,H219,WORKDAY.INTL(MAX(p_start-1,SUMPRODUCT(MAX(($I$6:$I218=$I219)*$M$6:$M218))),1,p_weekend,p_holidays)))</f>
        <v>0.0</v>
      </c>
      <c r="M219" s="61">
        <f>IF(K219="",0,WORKDAY.INTL(L219,K219-1,p_weekend,p_holidays))</f>
        <v>0.0</v>
      </c>
      <c r="N219" s="62" t="str">
        <f>IF(OR(M219=0,N(F219)=0,G219="Terminé"),"",F219-M219)</f>
        <v/>
      </c>
      <c r="O219" s="58" t="str">
        <f>IF(B219="","",IF(G219="Annulé","Annulé",IF(G219="Terminé","Terminé",IF(M219=0,"À compléter",IF(N(F219)=0,"Sans échéance",IF(M219&gt;F219,"En retard",IF(F219-M219&lt;=p_margin,"Juste","À l'heure")))))))</f>
        <v/>
      </c>
      <c r="P219" s="55" t="n"/>
      <c r="Q219" s="63" t="str">
        <f>IF(OR(B219="",N(D219)&lt;=0),"",MIN(1,N(P219)/D219))</f>
        <v/>
      </c>
      <c r="R219" s="64" t="str">
        <f>IF(OR(J219="",ISNA(MATCH(I219,po_code,0))),"",ROUND(J219*N(INDEX(po_rate,MATCH(I219,po_code,0))),2))</f>
        <v/>
      </c>
      <c r="S219" s="58" t="str">
        <f>IF(AND(A219="",B219=""),"",IF(B219="","Référence manquante",IF(ISNA(MATCH($B219,art_ref,0)),"Référence inconnue",IF(N(D219)&lt;=0,"Quantité invalide",IF(AND(A219&lt;&gt;"",COUNTIF(of_num,A219)&gt;1),"N° OF en double",IF(G219="Annulé","OK",IF(I219="","Poste manquant (gamme)",IF(ISNA(MATCH(I219,po_code,0)),"Poste inconnu",IF(K219="","Capacité du poste nulle",IF(AND(H219&lt;&gt;"",N(H219)=0),"Début imposé invalide",IF(AND(N(H219)&gt;0,WORKDAY.INTL(H219-1,1,p_weekend,p_holidays)&lt;&gt;H219),"Début un jour chômé",IF(AND(N(H219)&gt;0,H219&lt;=SUMPRODUCT(MAX(($I$6:$I218=$I219)*$M$6:$M218))),"Chevauche l'OF précédent",IF(N(F219)=0,"Date de besoin manquante","OK")))))))))))))</f>
        <v/>
      </c>
      <c r="T219" s="65" t="str">
        <f>IF(K219="","",J219/K219)</f>
        <v/>
      </c>
      <c r="U219" s="66" t="str">
        <f>IF(OR(O219="En retard",O219="Juste"),COUNTIF($O$6:O219,"En retard")+COUNTIF($O$6:O219,"Juste"),"")</f>
        <v/>
      </c>
    </row>
    <row r="220">
      <c r="A220" s="53" t="n"/>
      <c r="B220" s="53" t="n"/>
      <c r="C220" s="54" t="str">
        <f>IF(B220="","",IFERROR(INDEX(art_des,MATCH($B220,art_ref,0)),"Référence inconnue"))</f>
        <v/>
      </c>
      <c r="D220" s="55" t="n"/>
      <c r="E220" s="53" t="n"/>
      <c r="F220" s="56" t="n"/>
      <c r="G220" s="57" t="n"/>
      <c r="H220" s="56" t="n"/>
      <c r="I220" s="58" t="str">
        <f>IF(B220="","",IFERROR(INDEX(art_poste,MATCH($B220,art_ref,0))&amp;"",""))</f>
        <v/>
      </c>
      <c r="J220" s="59" t="str">
        <f>IF(OR(B220="",G220="Annulé",N(D220)&lt;=0),"",IFERROR(ROUND(INDEX(art_setup,MATCH($B220,art_ref,0))+D220*INDEX(art_cycle,MATCH($B220,art_ref,0))/60,2),""))</f>
        <v/>
      </c>
      <c r="K220" s="60" t="str">
        <f>IF(J220="","",IFERROR(MAX(1,ROUNDUP(J220/INDEX(po_cap,MATCH(I220,po_code,0)),0)),""))</f>
        <v/>
      </c>
      <c r="L220" s="61">
        <f>IF(K220="",0,IF(N(H220)&gt;0,H220,WORKDAY.INTL(MAX(p_start-1,SUMPRODUCT(MAX(($I$6:$I219=$I220)*$M$6:$M219))),1,p_weekend,p_holidays)))</f>
        <v>0.0</v>
      </c>
      <c r="M220" s="61">
        <f>IF(K220="",0,WORKDAY.INTL(L220,K220-1,p_weekend,p_holidays))</f>
        <v>0.0</v>
      </c>
      <c r="N220" s="62" t="str">
        <f>IF(OR(M220=0,N(F220)=0,G220="Terminé"),"",F220-M220)</f>
        <v/>
      </c>
      <c r="O220" s="58" t="str">
        <f>IF(B220="","",IF(G220="Annulé","Annulé",IF(G220="Terminé","Terminé",IF(M220=0,"À compléter",IF(N(F220)=0,"Sans échéance",IF(M220&gt;F220,"En retard",IF(F220-M220&lt;=p_margin,"Juste","À l'heure")))))))</f>
        <v/>
      </c>
      <c r="P220" s="55" t="n"/>
      <c r="Q220" s="63" t="str">
        <f>IF(OR(B220="",N(D220)&lt;=0),"",MIN(1,N(P220)/D220))</f>
        <v/>
      </c>
      <c r="R220" s="64" t="str">
        <f>IF(OR(J220="",ISNA(MATCH(I220,po_code,0))),"",ROUND(J220*N(INDEX(po_rate,MATCH(I220,po_code,0))),2))</f>
        <v/>
      </c>
      <c r="S220" s="58" t="str">
        <f>IF(AND(A220="",B220=""),"",IF(B220="","Référence manquante",IF(ISNA(MATCH($B220,art_ref,0)),"Référence inconnue",IF(N(D220)&lt;=0,"Quantité invalide",IF(AND(A220&lt;&gt;"",COUNTIF(of_num,A220)&gt;1),"N° OF en double",IF(G220="Annulé","OK",IF(I220="","Poste manquant (gamme)",IF(ISNA(MATCH(I220,po_code,0)),"Poste inconnu",IF(K220="","Capacité du poste nulle",IF(AND(H220&lt;&gt;"",N(H220)=0),"Début imposé invalide",IF(AND(N(H220)&gt;0,WORKDAY.INTL(H220-1,1,p_weekend,p_holidays)&lt;&gt;H220),"Début un jour chômé",IF(AND(N(H220)&gt;0,H220&lt;=SUMPRODUCT(MAX(($I$6:$I219=$I220)*$M$6:$M219))),"Chevauche l'OF précédent",IF(N(F220)=0,"Date de besoin manquante","OK")))))))))))))</f>
        <v/>
      </c>
      <c r="T220" s="65" t="str">
        <f>IF(K220="","",J220/K220)</f>
        <v/>
      </c>
      <c r="U220" s="66" t="str">
        <f>IF(OR(O220="En retard",O220="Juste"),COUNTIF($O$6:O220,"En retard")+COUNTIF($O$6:O220,"Juste"),"")</f>
        <v/>
      </c>
    </row>
    <row r="221">
      <c r="A221" s="53" t="n"/>
      <c r="B221" s="53" t="n"/>
      <c r="C221" s="54" t="str">
        <f>IF(B221="","",IFERROR(INDEX(art_des,MATCH($B221,art_ref,0)),"Référence inconnue"))</f>
        <v/>
      </c>
      <c r="D221" s="55" t="n"/>
      <c r="E221" s="53" t="n"/>
      <c r="F221" s="56" t="n"/>
      <c r="G221" s="57" t="n"/>
      <c r="H221" s="56" t="n"/>
      <c r="I221" s="58" t="str">
        <f>IF(B221="","",IFERROR(INDEX(art_poste,MATCH($B221,art_ref,0))&amp;"",""))</f>
        <v/>
      </c>
      <c r="J221" s="59" t="str">
        <f>IF(OR(B221="",G221="Annulé",N(D221)&lt;=0),"",IFERROR(ROUND(INDEX(art_setup,MATCH($B221,art_ref,0))+D221*INDEX(art_cycle,MATCH($B221,art_ref,0))/60,2),""))</f>
        <v/>
      </c>
      <c r="K221" s="60" t="str">
        <f>IF(J221="","",IFERROR(MAX(1,ROUNDUP(J221/INDEX(po_cap,MATCH(I221,po_code,0)),0)),""))</f>
        <v/>
      </c>
      <c r="L221" s="61">
        <f>IF(K221="",0,IF(N(H221)&gt;0,H221,WORKDAY.INTL(MAX(p_start-1,SUMPRODUCT(MAX(($I$6:$I220=$I221)*$M$6:$M220))),1,p_weekend,p_holidays)))</f>
        <v>0.0</v>
      </c>
      <c r="M221" s="61">
        <f>IF(K221="",0,WORKDAY.INTL(L221,K221-1,p_weekend,p_holidays))</f>
        <v>0.0</v>
      </c>
      <c r="N221" s="62" t="str">
        <f>IF(OR(M221=0,N(F221)=0,G221="Terminé"),"",F221-M221)</f>
        <v/>
      </c>
      <c r="O221" s="58" t="str">
        <f>IF(B221="","",IF(G221="Annulé","Annulé",IF(G221="Terminé","Terminé",IF(M221=0,"À compléter",IF(N(F221)=0,"Sans échéance",IF(M221&gt;F221,"En retard",IF(F221-M221&lt;=p_margin,"Juste","À l'heure")))))))</f>
        <v/>
      </c>
      <c r="P221" s="55" t="n"/>
      <c r="Q221" s="63" t="str">
        <f>IF(OR(B221="",N(D221)&lt;=0),"",MIN(1,N(P221)/D221))</f>
        <v/>
      </c>
      <c r="R221" s="64" t="str">
        <f>IF(OR(J221="",ISNA(MATCH(I221,po_code,0))),"",ROUND(J221*N(INDEX(po_rate,MATCH(I221,po_code,0))),2))</f>
        <v/>
      </c>
      <c r="S221" s="58" t="str">
        <f>IF(AND(A221="",B221=""),"",IF(B221="","Référence manquante",IF(ISNA(MATCH($B221,art_ref,0)),"Référence inconnue",IF(N(D221)&lt;=0,"Quantité invalide",IF(AND(A221&lt;&gt;"",COUNTIF(of_num,A221)&gt;1),"N° OF en double",IF(G221="Annulé","OK",IF(I221="","Poste manquant (gamme)",IF(ISNA(MATCH(I221,po_code,0)),"Poste inconnu",IF(K221="","Capacité du poste nulle",IF(AND(H221&lt;&gt;"",N(H221)=0),"Début imposé invalide",IF(AND(N(H221)&gt;0,WORKDAY.INTL(H221-1,1,p_weekend,p_holidays)&lt;&gt;H221),"Début un jour chômé",IF(AND(N(H221)&gt;0,H221&lt;=SUMPRODUCT(MAX(($I$6:$I220=$I221)*$M$6:$M220))),"Chevauche l'OF précédent",IF(N(F221)=0,"Date de besoin manquante","OK")))))))))))))</f>
        <v/>
      </c>
      <c r="T221" s="65" t="str">
        <f>IF(K221="","",J221/K221)</f>
        <v/>
      </c>
      <c r="U221" s="66" t="str">
        <f>IF(OR(O221="En retard",O221="Juste"),COUNTIF($O$6:O221,"En retard")+COUNTIF($O$6:O221,"Juste"),"")</f>
        <v/>
      </c>
    </row>
    <row r="222">
      <c r="A222" s="53" t="n"/>
      <c r="B222" s="53" t="n"/>
      <c r="C222" s="54" t="str">
        <f>IF(B222="","",IFERROR(INDEX(art_des,MATCH($B222,art_ref,0)),"Référence inconnue"))</f>
        <v/>
      </c>
      <c r="D222" s="55" t="n"/>
      <c r="E222" s="53" t="n"/>
      <c r="F222" s="56" t="n"/>
      <c r="G222" s="57" t="n"/>
      <c r="H222" s="56" t="n"/>
      <c r="I222" s="58" t="str">
        <f>IF(B222="","",IFERROR(INDEX(art_poste,MATCH($B222,art_ref,0))&amp;"",""))</f>
        <v/>
      </c>
      <c r="J222" s="59" t="str">
        <f>IF(OR(B222="",G222="Annulé",N(D222)&lt;=0),"",IFERROR(ROUND(INDEX(art_setup,MATCH($B222,art_ref,0))+D222*INDEX(art_cycle,MATCH($B222,art_ref,0))/60,2),""))</f>
        <v/>
      </c>
      <c r="K222" s="60" t="str">
        <f>IF(J222="","",IFERROR(MAX(1,ROUNDUP(J222/INDEX(po_cap,MATCH(I222,po_code,0)),0)),""))</f>
        <v/>
      </c>
      <c r="L222" s="61">
        <f>IF(K222="",0,IF(N(H222)&gt;0,H222,WORKDAY.INTL(MAX(p_start-1,SUMPRODUCT(MAX(($I$6:$I221=$I222)*$M$6:$M221))),1,p_weekend,p_holidays)))</f>
        <v>0.0</v>
      </c>
      <c r="M222" s="61">
        <f>IF(K222="",0,WORKDAY.INTL(L222,K222-1,p_weekend,p_holidays))</f>
        <v>0.0</v>
      </c>
      <c r="N222" s="62" t="str">
        <f>IF(OR(M222=0,N(F222)=0,G222="Terminé"),"",F222-M222)</f>
        <v/>
      </c>
      <c r="O222" s="58" t="str">
        <f>IF(B222="","",IF(G222="Annulé","Annulé",IF(G222="Terminé","Terminé",IF(M222=0,"À compléter",IF(N(F222)=0,"Sans échéance",IF(M222&gt;F222,"En retard",IF(F222-M222&lt;=p_margin,"Juste","À l'heure")))))))</f>
        <v/>
      </c>
      <c r="P222" s="55" t="n"/>
      <c r="Q222" s="63" t="str">
        <f>IF(OR(B222="",N(D222)&lt;=0),"",MIN(1,N(P222)/D222))</f>
        <v/>
      </c>
      <c r="R222" s="64" t="str">
        <f>IF(OR(J222="",ISNA(MATCH(I222,po_code,0))),"",ROUND(J222*N(INDEX(po_rate,MATCH(I222,po_code,0))),2))</f>
        <v/>
      </c>
      <c r="S222" s="58" t="str">
        <f>IF(AND(A222="",B222=""),"",IF(B222="","Référence manquante",IF(ISNA(MATCH($B222,art_ref,0)),"Référence inconnue",IF(N(D222)&lt;=0,"Quantité invalide",IF(AND(A222&lt;&gt;"",COUNTIF(of_num,A222)&gt;1),"N° OF en double",IF(G222="Annulé","OK",IF(I222="","Poste manquant (gamme)",IF(ISNA(MATCH(I222,po_code,0)),"Poste inconnu",IF(K222="","Capacité du poste nulle",IF(AND(H222&lt;&gt;"",N(H222)=0),"Début imposé invalide",IF(AND(N(H222)&gt;0,WORKDAY.INTL(H222-1,1,p_weekend,p_holidays)&lt;&gt;H222),"Début un jour chômé",IF(AND(N(H222)&gt;0,H222&lt;=SUMPRODUCT(MAX(($I$6:$I221=$I222)*$M$6:$M221))),"Chevauche l'OF précédent",IF(N(F222)=0,"Date de besoin manquante","OK")))))))))))))</f>
        <v/>
      </c>
      <c r="T222" s="65" t="str">
        <f>IF(K222="","",J222/K222)</f>
        <v/>
      </c>
      <c r="U222" s="66" t="str">
        <f>IF(OR(O222="En retard",O222="Juste"),COUNTIF($O$6:O222,"En retard")+COUNTIF($O$6:O222,"Juste"),"")</f>
        <v/>
      </c>
    </row>
    <row r="223">
      <c r="A223" s="53" t="n"/>
      <c r="B223" s="53" t="n"/>
      <c r="C223" s="54" t="str">
        <f>IF(B223="","",IFERROR(INDEX(art_des,MATCH($B223,art_ref,0)),"Référence inconnue"))</f>
        <v/>
      </c>
      <c r="D223" s="55" t="n"/>
      <c r="E223" s="53" t="n"/>
      <c r="F223" s="56" t="n"/>
      <c r="G223" s="57" t="n"/>
      <c r="H223" s="56" t="n"/>
      <c r="I223" s="58" t="str">
        <f>IF(B223="","",IFERROR(INDEX(art_poste,MATCH($B223,art_ref,0))&amp;"",""))</f>
        <v/>
      </c>
      <c r="J223" s="59" t="str">
        <f>IF(OR(B223="",G223="Annulé",N(D223)&lt;=0),"",IFERROR(ROUND(INDEX(art_setup,MATCH($B223,art_ref,0))+D223*INDEX(art_cycle,MATCH($B223,art_ref,0))/60,2),""))</f>
        <v/>
      </c>
      <c r="K223" s="60" t="str">
        <f>IF(J223="","",IFERROR(MAX(1,ROUNDUP(J223/INDEX(po_cap,MATCH(I223,po_code,0)),0)),""))</f>
        <v/>
      </c>
      <c r="L223" s="61">
        <f>IF(K223="",0,IF(N(H223)&gt;0,H223,WORKDAY.INTL(MAX(p_start-1,SUMPRODUCT(MAX(($I$6:$I222=$I223)*$M$6:$M222))),1,p_weekend,p_holidays)))</f>
        <v>0.0</v>
      </c>
      <c r="M223" s="61">
        <f>IF(K223="",0,WORKDAY.INTL(L223,K223-1,p_weekend,p_holidays))</f>
        <v>0.0</v>
      </c>
      <c r="N223" s="62" t="str">
        <f>IF(OR(M223=0,N(F223)=0,G223="Terminé"),"",F223-M223)</f>
        <v/>
      </c>
      <c r="O223" s="58" t="str">
        <f>IF(B223="","",IF(G223="Annulé","Annulé",IF(G223="Terminé","Terminé",IF(M223=0,"À compléter",IF(N(F223)=0,"Sans échéance",IF(M223&gt;F223,"En retard",IF(F223-M223&lt;=p_margin,"Juste","À l'heure")))))))</f>
        <v/>
      </c>
      <c r="P223" s="55" t="n"/>
      <c r="Q223" s="63" t="str">
        <f>IF(OR(B223="",N(D223)&lt;=0),"",MIN(1,N(P223)/D223))</f>
        <v/>
      </c>
      <c r="R223" s="64" t="str">
        <f>IF(OR(J223="",ISNA(MATCH(I223,po_code,0))),"",ROUND(J223*N(INDEX(po_rate,MATCH(I223,po_code,0))),2))</f>
        <v/>
      </c>
      <c r="S223" s="58" t="str">
        <f>IF(AND(A223="",B223=""),"",IF(B223="","Référence manquante",IF(ISNA(MATCH($B223,art_ref,0)),"Référence inconnue",IF(N(D223)&lt;=0,"Quantité invalide",IF(AND(A223&lt;&gt;"",COUNTIF(of_num,A223)&gt;1),"N° OF en double",IF(G223="Annulé","OK",IF(I223="","Poste manquant (gamme)",IF(ISNA(MATCH(I223,po_code,0)),"Poste inconnu",IF(K223="","Capacité du poste nulle",IF(AND(H223&lt;&gt;"",N(H223)=0),"Début imposé invalide",IF(AND(N(H223)&gt;0,WORKDAY.INTL(H223-1,1,p_weekend,p_holidays)&lt;&gt;H223),"Début un jour chômé",IF(AND(N(H223)&gt;0,H223&lt;=SUMPRODUCT(MAX(($I$6:$I222=$I223)*$M$6:$M222))),"Chevauche l'OF précédent",IF(N(F223)=0,"Date de besoin manquante","OK")))))))))))))</f>
        <v/>
      </c>
      <c r="T223" s="65" t="str">
        <f>IF(K223="","",J223/K223)</f>
        <v/>
      </c>
      <c r="U223" s="66" t="str">
        <f>IF(OR(O223="En retard",O223="Juste"),COUNTIF($O$6:O223,"En retard")+COUNTIF($O$6:O223,"Juste"),"")</f>
        <v/>
      </c>
    </row>
    <row r="224">
      <c r="A224" s="53" t="n"/>
      <c r="B224" s="53" t="n"/>
      <c r="C224" s="54" t="str">
        <f>IF(B224="","",IFERROR(INDEX(art_des,MATCH($B224,art_ref,0)),"Référence inconnue"))</f>
        <v/>
      </c>
      <c r="D224" s="55" t="n"/>
      <c r="E224" s="53" t="n"/>
      <c r="F224" s="56" t="n"/>
      <c r="G224" s="57" t="n"/>
      <c r="H224" s="56" t="n"/>
      <c r="I224" s="58" t="str">
        <f>IF(B224="","",IFERROR(INDEX(art_poste,MATCH($B224,art_ref,0))&amp;"",""))</f>
        <v/>
      </c>
      <c r="J224" s="59" t="str">
        <f>IF(OR(B224="",G224="Annulé",N(D224)&lt;=0),"",IFERROR(ROUND(INDEX(art_setup,MATCH($B224,art_ref,0))+D224*INDEX(art_cycle,MATCH($B224,art_ref,0))/60,2),""))</f>
        <v/>
      </c>
      <c r="K224" s="60" t="str">
        <f>IF(J224="","",IFERROR(MAX(1,ROUNDUP(J224/INDEX(po_cap,MATCH(I224,po_code,0)),0)),""))</f>
        <v/>
      </c>
      <c r="L224" s="61">
        <f>IF(K224="",0,IF(N(H224)&gt;0,H224,WORKDAY.INTL(MAX(p_start-1,SUMPRODUCT(MAX(($I$6:$I223=$I224)*$M$6:$M223))),1,p_weekend,p_holidays)))</f>
        <v>0.0</v>
      </c>
      <c r="M224" s="61">
        <f>IF(K224="",0,WORKDAY.INTL(L224,K224-1,p_weekend,p_holidays))</f>
        <v>0.0</v>
      </c>
      <c r="N224" s="62" t="str">
        <f>IF(OR(M224=0,N(F224)=0,G224="Terminé"),"",F224-M224)</f>
        <v/>
      </c>
      <c r="O224" s="58" t="str">
        <f>IF(B224="","",IF(G224="Annulé","Annulé",IF(G224="Terminé","Terminé",IF(M224=0,"À compléter",IF(N(F224)=0,"Sans échéance",IF(M224&gt;F224,"En retard",IF(F224-M224&lt;=p_margin,"Juste","À l'heure")))))))</f>
        <v/>
      </c>
      <c r="P224" s="55" t="n"/>
      <c r="Q224" s="63" t="str">
        <f>IF(OR(B224="",N(D224)&lt;=0),"",MIN(1,N(P224)/D224))</f>
        <v/>
      </c>
      <c r="R224" s="64" t="str">
        <f>IF(OR(J224="",ISNA(MATCH(I224,po_code,0))),"",ROUND(J224*N(INDEX(po_rate,MATCH(I224,po_code,0))),2))</f>
        <v/>
      </c>
      <c r="S224" s="58" t="str">
        <f>IF(AND(A224="",B224=""),"",IF(B224="","Référence manquante",IF(ISNA(MATCH($B224,art_ref,0)),"Référence inconnue",IF(N(D224)&lt;=0,"Quantité invalide",IF(AND(A224&lt;&gt;"",COUNTIF(of_num,A224)&gt;1),"N° OF en double",IF(G224="Annulé","OK",IF(I224="","Poste manquant (gamme)",IF(ISNA(MATCH(I224,po_code,0)),"Poste inconnu",IF(K224="","Capacité du poste nulle",IF(AND(H224&lt;&gt;"",N(H224)=0),"Début imposé invalide",IF(AND(N(H224)&gt;0,WORKDAY.INTL(H224-1,1,p_weekend,p_holidays)&lt;&gt;H224),"Début un jour chômé",IF(AND(N(H224)&gt;0,H224&lt;=SUMPRODUCT(MAX(($I$6:$I223=$I224)*$M$6:$M223))),"Chevauche l'OF précédent",IF(N(F224)=0,"Date de besoin manquante","OK")))))))))))))</f>
        <v/>
      </c>
      <c r="T224" s="65" t="str">
        <f>IF(K224="","",J224/K224)</f>
        <v/>
      </c>
      <c r="U224" s="66" t="str">
        <f>IF(OR(O224="En retard",O224="Juste"),COUNTIF($O$6:O224,"En retard")+COUNTIF($O$6:O224,"Juste"),"")</f>
        <v/>
      </c>
    </row>
    <row r="225">
      <c r="A225" s="53" t="n"/>
      <c r="B225" s="53" t="n"/>
      <c r="C225" s="54" t="str">
        <f>IF(B225="","",IFERROR(INDEX(art_des,MATCH($B225,art_ref,0)),"Référence inconnue"))</f>
        <v/>
      </c>
      <c r="D225" s="55" t="n"/>
      <c r="E225" s="53" t="n"/>
      <c r="F225" s="56" t="n"/>
      <c r="G225" s="57" t="n"/>
      <c r="H225" s="56" t="n"/>
      <c r="I225" s="58" t="str">
        <f>IF(B225="","",IFERROR(INDEX(art_poste,MATCH($B225,art_ref,0))&amp;"",""))</f>
        <v/>
      </c>
      <c r="J225" s="59" t="str">
        <f>IF(OR(B225="",G225="Annulé",N(D225)&lt;=0),"",IFERROR(ROUND(INDEX(art_setup,MATCH($B225,art_ref,0))+D225*INDEX(art_cycle,MATCH($B225,art_ref,0))/60,2),""))</f>
        <v/>
      </c>
      <c r="K225" s="60" t="str">
        <f>IF(J225="","",IFERROR(MAX(1,ROUNDUP(J225/INDEX(po_cap,MATCH(I225,po_code,0)),0)),""))</f>
        <v/>
      </c>
      <c r="L225" s="61">
        <f>IF(K225="",0,IF(N(H225)&gt;0,H225,WORKDAY.INTL(MAX(p_start-1,SUMPRODUCT(MAX(($I$6:$I224=$I225)*$M$6:$M224))),1,p_weekend,p_holidays)))</f>
        <v>0.0</v>
      </c>
      <c r="M225" s="61">
        <f>IF(K225="",0,WORKDAY.INTL(L225,K225-1,p_weekend,p_holidays))</f>
        <v>0.0</v>
      </c>
      <c r="N225" s="62" t="str">
        <f>IF(OR(M225=0,N(F225)=0,G225="Terminé"),"",F225-M225)</f>
        <v/>
      </c>
      <c r="O225" s="58" t="str">
        <f>IF(B225="","",IF(G225="Annulé","Annulé",IF(G225="Terminé","Terminé",IF(M225=0,"À compléter",IF(N(F225)=0,"Sans échéance",IF(M225&gt;F225,"En retard",IF(F225-M225&lt;=p_margin,"Juste","À l'heure")))))))</f>
        <v/>
      </c>
      <c r="P225" s="55" t="n"/>
      <c r="Q225" s="63" t="str">
        <f>IF(OR(B225="",N(D225)&lt;=0),"",MIN(1,N(P225)/D225))</f>
        <v/>
      </c>
      <c r="R225" s="64" t="str">
        <f>IF(OR(J225="",ISNA(MATCH(I225,po_code,0))),"",ROUND(J225*N(INDEX(po_rate,MATCH(I225,po_code,0))),2))</f>
        <v/>
      </c>
      <c r="S225" s="58" t="str">
        <f>IF(AND(A225="",B225=""),"",IF(B225="","Référence manquante",IF(ISNA(MATCH($B225,art_ref,0)),"Référence inconnue",IF(N(D225)&lt;=0,"Quantité invalide",IF(AND(A225&lt;&gt;"",COUNTIF(of_num,A225)&gt;1),"N° OF en double",IF(G225="Annulé","OK",IF(I225="","Poste manquant (gamme)",IF(ISNA(MATCH(I225,po_code,0)),"Poste inconnu",IF(K225="","Capacité du poste nulle",IF(AND(H225&lt;&gt;"",N(H225)=0),"Début imposé invalide",IF(AND(N(H225)&gt;0,WORKDAY.INTL(H225-1,1,p_weekend,p_holidays)&lt;&gt;H225),"Début un jour chômé",IF(AND(N(H225)&gt;0,H225&lt;=SUMPRODUCT(MAX(($I$6:$I224=$I225)*$M$6:$M224))),"Chevauche l'OF précédent",IF(N(F225)=0,"Date de besoin manquante","OK")))))))))))))</f>
        <v/>
      </c>
      <c r="T225" s="65" t="str">
        <f>IF(K225="","",J225/K225)</f>
        <v/>
      </c>
      <c r="U225" s="66" t="str">
        <f>IF(OR(O225="En retard",O225="Juste"),COUNTIF($O$6:O225,"En retard")+COUNTIF($O$6:O225,"Juste"),"")</f>
        <v/>
      </c>
    </row>
    <row r="226">
      <c r="A226" s="53" t="n"/>
      <c r="B226" s="53" t="n"/>
      <c r="C226" s="54" t="str">
        <f>IF(B226="","",IFERROR(INDEX(art_des,MATCH($B226,art_ref,0)),"Référence inconnue"))</f>
        <v/>
      </c>
      <c r="D226" s="55" t="n"/>
      <c r="E226" s="53" t="n"/>
      <c r="F226" s="56" t="n"/>
      <c r="G226" s="57" t="n"/>
      <c r="H226" s="56" t="n"/>
      <c r="I226" s="58" t="str">
        <f>IF(B226="","",IFERROR(INDEX(art_poste,MATCH($B226,art_ref,0))&amp;"",""))</f>
        <v/>
      </c>
      <c r="J226" s="59" t="str">
        <f>IF(OR(B226="",G226="Annulé",N(D226)&lt;=0),"",IFERROR(ROUND(INDEX(art_setup,MATCH($B226,art_ref,0))+D226*INDEX(art_cycle,MATCH($B226,art_ref,0))/60,2),""))</f>
        <v/>
      </c>
      <c r="K226" s="60" t="str">
        <f>IF(J226="","",IFERROR(MAX(1,ROUNDUP(J226/INDEX(po_cap,MATCH(I226,po_code,0)),0)),""))</f>
        <v/>
      </c>
      <c r="L226" s="61">
        <f>IF(K226="",0,IF(N(H226)&gt;0,H226,WORKDAY.INTL(MAX(p_start-1,SUMPRODUCT(MAX(($I$6:$I225=$I226)*$M$6:$M225))),1,p_weekend,p_holidays)))</f>
        <v>0.0</v>
      </c>
      <c r="M226" s="61">
        <f>IF(K226="",0,WORKDAY.INTL(L226,K226-1,p_weekend,p_holidays))</f>
        <v>0.0</v>
      </c>
      <c r="N226" s="62" t="str">
        <f>IF(OR(M226=0,N(F226)=0,G226="Terminé"),"",F226-M226)</f>
        <v/>
      </c>
      <c r="O226" s="58" t="str">
        <f>IF(B226="","",IF(G226="Annulé","Annulé",IF(G226="Terminé","Terminé",IF(M226=0,"À compléter",IF(N(F226)=0,"Sans échéance",IF(M226&gt;F226,"En retard",IF(F226-M226&lt;=p_margin,"Juste","À l'heure")))))))</f>
        <v/>
      </c>
      <c r="P226" s="55" t="n"/>
      <c r="Q226" s="63" t="str">
        <f>IF(OR(B226="",N(D226)&lt;=0),"",MIN(1,N(P226)/D226))</f>
        <v/>
      </c>
      <c r="R226" s="64" t="str">
        <f>IF(OR(J226="",ISNA(MATCH(I226,po_code,0))),"",ROUND(J226*N(INDEX(po_rate,MATCH(I226,po_code,0))),2))</f>
        <v/>
      </c>
      <c r="S226" s="58" t="str">
        <f>IF(AND(A226="",B226=""),"",IF(B226="","Référence manquante",IF(ISNA(MATCH($B226,art_ref,0)),"Référence inconnue",IF(N(D226)&lt;=0,"Quantité invalide",IF(AND(A226&lt;&gt;"",COUNTIF(of_num,A226)&gt;1),"N° OF en double",IF(G226="Annulé","OK",IF(I226="","Poste manquant (gamme)",IF(ISNA(MATCH(I226,po_code,0)),"Poste inconnu",IF(K226="","Capacité du poste nulle",IF(AND(H226&lt;&gt;"",N(H226)=0),"Début imposé invalide",IF(AND(N(H226)&gt;0,WORKDAY.INTL(H226-1,1,p_weekend,p_holidays)&lt;&gt;H226),"Début un jour chômé",IF(AND(N(H226)&gt;0,H226&lt;=SUMPRODUCT(MAX(($I$6:$I225=$I226)*$M$6:$M225))),"Chevauche l'OF précédent",IF(N(F226)=0,"Date de besoin manquante","OK")))))))))))))</f>
        <v/>
      </c>
      <c r="T226" s="65" t="str">
        <f>IF(K226="","",J226/K226)</f>
        <v/>
      </c>
      <c r="U226" s="66" t="str">
        <f>IF(OR(O226="En retard",O226="Juste"),COUNTIF($O$6:O226,"En retard")+COUNTIF($O$6:O226,"Juste"),"")</f>
        <v/>
      </c>
    </row>
    <row r="227">
      <c r="A227" s="53" t="n"/>
      <c r="B227" s="53" t="n"/>
      <c r="C227" s="54" t="str">
        <f>IF(B227="","",IFERROR(INDEX(art_des,MATCH($B227,art_ref,0)),"Référence inconnue"))</f>
        <v/>
      </c>
      <c r="D227" s="55" t="n"/>
      <c r="E227" s="53" t="n"/>
      <c r="F227" s="56" t="n"/>
      <c r="G227" s="57" t="n"/>
      <c r="H227" s="56" t="n"/>
      <c r="I227" s="58" t="str">
        <f>IF(B227="","",IFERROR(INDEX(art_poste,MATCH($B227,art_ref,0))&amp;"",""))</f>
        <v/>
      </c>
      <c r="J227" s="59" t="str">
        <f>IF(OR(B227="",G227="Annulé",N(D227)&lt;=0),"",IFERROR(ROUND(INDEX(art_setup,MATCH($B227,art_ref,0))+D227*INDEX(art_cycle,MATCH($B227,art_ref,0))/60,2),""))</f>
        <v/>
      </c>
      <c r="K227" s="60" t="str">
        <f>IF(J227="","",IFERROR(MAX(1,ROUNDUP(J227/INDEX(po_cap,MATCH(I227,po_code,0)),0)),""))</f>
        <v/>
      </c>
      <c r="L227" s="61">
        <f>IF(K227="",0,IF(N(H227)&gt;0,H227,WORKDAY.INTL(MAX(p_start-1,SUMPRODUCT(MAX(($I$6:$I226=$I227)*$M$6:$M226))),1,p_weekend,p_holidays)))</f>
        <v>0.0</v>
      </c>
      <c r="M227" s="61">
        <f>IF(K227="",0,WORKDAY.INTL(L227,K227-1,p_weekend,p_holidays))</f>
        <v>0.0</v>
      </c>
      <c r="N227" s="62" t="str">
        <f>IF(OR(M227=0,N(F227)=0,G227="Terminé"),"",F227-M227)</f>
        <v/>
      </c>
      <c r="O227" s="58" t="str">
        <f>IF(B227="","",IF(G227="Annulé","Annulé",IF(G227="Terminé","Terminé",IF(M227=0,"À compléter",IF(N(F227)=0,"Sans échéance",IF(M227&gt;F227,"En retard",IF(F227-M227&lt;=p_margin,"Juste","À l'heure")))))))</f>
        <v/>
      </c>
      <c r="P227" s="55" t="n"/>
      <c r="Q227" s="63" t="str">
        <f>IF(OR(B227="",N(D227)&lt;=0),"",MIN(1,N(P227)/D227))</f>
        <v/>
      </c>
      <c r="R227" s="64" t="str">
        <f>IF(OR(J227="",ISNA(MATCH(I227,po_code,0))),"",ROUND(J227*N(INDEX(po_rate,MATCH(I227,po_code,0))),2))</f>
        <v/>
      </c>
      <c r="S227" s="58" t="str">
        <f>IF(AND(A227="",B227=""),"",IF(B227="","Référence manquante",IF(ISNA(MATCH($B227,art_ref,0)),"Référence inconnue",IF(N(D227)&lt;=0,"Quantité invalide",IF(AND(A227&lt;&gt;"",COUNTIF(of_num,A227)&gt;1),"N° OF en double",IF(G227="Annulé","OK",IF(I227="","Poste manquant (gamme)",IF(ISNA(MATCH(I227,po_code,0)),"Poste inconnu",IF(K227="","Capacité du poste nulle",IF(AND(H227&lt;&gt;"",N(H227)=0),"Début imposé invalide",IF(AND(N(H227)&gt;0,WORKDAY.INTL(H227-1,1,p_weekend,p_holidays)&lt;&gt;H227),"Début un jour chômé",IF(AND(N(H227)&gt;0,H227&lt;=SUMPRODUCT(MAX(($I$6:$I226=$I227)*$M$6:$M226))),"Chevauche l'OF précédent",IF(N(F227)=0,"Date de besoin manquante","OK")))))))))))))</f>
        <v/>
      </c>
      <c r="T227" s="65" t="str">
        <f>IF(K227="","",J227/K227)</f>
        <v/>
      </c>
      <c r="U227" s="66" t="str">
        <f>IF(OR(O227="En retard",O227="Juste"),COUNTIF($O$6:O227,"En retard")+COUNTIF($O$6:O227,"Juste"),"")</f>
        <v/>
      </c>
    </row>
    <row r="228">
      <c r="A228" s="53" t="n"/>
      <c r="B228" s="53" t="n"/>
      <c r="C228" s="54" t="str">
        <f>IF(B228="","",IFERROR(INDEX(art_des,MATCH($B228,art_ref,0)),"Référence inconnue"))</f>
        <v/>
      </c>
      <c r="D228" s="55" t="n"/>
      <c r="E228" s="53" t="n"/>
      <c r="F228" s="56" t="n"/>
      <c r="G228" s="57" t="n"/>
      <c r="H228" s="56" t="n"/>
      <c r="I228" s="58" t="str">
        <f>IF(B228="","",IFERROR(INDEX(art_poste,MATCH($B228,art_ref,0))&amp;"",""))</f>
        <v/>
      </c>
      <c r="J228" s="59" t="str">
        <f>IF(OR(B228="",G228="Annulé",N(D228)&lt;=0),"",IFERROR(ROUND(INDEX(art_setup,MATCH($B228,art_ref,0))+D228*INDEX(art_cycle,MATCH($B228,art_ref,0))/60,2),""))</f>
        <v/>
      </c>
      <c r="K228" s="60" t="str">
        <f>IF(J228="","",IFERROR(MAX(1,ROUNDUP(J228/INDEX(po_cap,MATCH(I228,po_code,0)),0)),""))</f>
        <v/>
      </c>
      <c r="L228" s="61">
        <f>IF(K228="",0,IF(N(H228)&gt;0,H228,WORKDAY.INTL(MAX(p_start-1,SUMPRODUCT(MAX(($I$6:$I227=$I228)*$M$6:$M227))),1,p_weekend,p_holidays)))</f>
        <v>0.0</v>
      </c>
      <c r="M228" s="61">
        <f>IF(K228="",0,WORKDAY.INTL(L228,K228-1,p_weekend,p_holidays))</f>
        <v>0.0</v>
      </c>
      <c r="N228" s="62" t="str">
        <f>IF(OR(M228=0,N(F228)=0,G228="Terminé"),"",F228-M228)</f>
        <v/>
      </c>
      <c r="O228" s="58" t="str">
        <f>IF(B228="","",IF(G228="Annulé","Annulé",IF(G228="Terminé","Terminé",IF(M228=0,"À compléter",IF(N(F228)=0,"Sans échéance",IF(M228&gt;F228,"En retard",IF(F228-M228&lt;=p_margin,"Juste","À l'heure")))))))</f>
        <v/>
      </c>
      <c r="P228" s="55" t="n"/>
      <c r="Q228" s="63" t="str">
        <f>IF(OR(B228="",N(D228)&lt;=0),"",MIN(1,N(P228)/D228))</f>
        <v/>
      </c>
      <c r="R228" s="64" t="str">
        <f>IF(OR(J228="",ISNA(MATCH(I228,po_code,0))),"",ROUND(J228*N(INDEX(po_rate,MATCH(I228,po_code,0))),2))</f>
        <v/>
      </c>
      <c r="S228" s="58" t="str">
        <f>IF(AND(A228="",B228=""),"",IF(B228="","Référence manquante",IF(ISNA(MATCH($B228,art_ref,0)),"Référence inconnue",IF(N(D228)&lt;=0,"Quantité invalide",IF(AND(A228&lt;&gt;"",COUNTIF(of_num,A228)&gt;1),"N° OF en double",IF(G228="Annulé","OK",IF(I228="","Poste manquant (gamme)",IF(ISNA(MATCH(I228,po_code,0)),"Poste inconnu",IF(K228="","Capacité du poste nulle",IF(AND(H228&lt;&gt;"",N(H228)=0),"Début imposé invalide",IF(AND(N(H228)&gt;0,WORKDAY.INTL(H228-1,1,p_weekend,p_holidays)&lt;&gt;H228),"Début un jour chômé",IF(AND(N(H228)&gt;0,H228&lt;=SUMPRODUCT(MAX(($I$6:$I227=$I228)*$M$6:$M227))),"Chevauche l'OF précédent",IF(N(F228)=0,"Date de besoin manquante","OK")))))))))))))</f>
        <v/>
      </c>
      <c r="T228" s="65" t="str">
        <f>IF(K228="","",J228/K228)</f>
        <v/>
      </c>
      <c r="U228" s="66" t="str">
        <f>IF(OR(O228="En retard",O228="Juste"),COUNTIF($O$6:O228,"En retard")+COUNTIF($O$6:O228,"Juste"),"")</f>
        <v/>
      </c>
    </row>
    <row r="229">
      <c r="A229" s="53" t="n"/>
      <c r="B229" s="53" t="n"/>
      <c r="C229" s="54" t="str">
        <f>IF(B229="","",IFERROR(INDEX(art_des,MATCH($B229,art_ref,0)),"Référence inconnue"))</f>
        <v/>
      </c>
      <c r="D229" s="55" t="n"/>
      <c r="E229" s="53" t="n"/>
      <c r="F229" s="56" t="n"/>
      <c r="G229" s="57" t="n"/>
      <c r="H229" s="56" t="n"/>
      <c r="I229" s="58" t="str">
        <f>IF(B229="","",IFERROR(INDEX(art_poste,MATCH($B229,art_ref,0))&amp;"",""))</f>
        <v/>
      </c>
      <c r="J229" s="59" t="str">
        <f>IF(OR(B229="",G229="Annulé",N(D229)&lt;=0),"",IFERROR(ROUND(INDEX(art_setup,MATCH($B229,art_ref,0))+D229*INDEX(art_cycle,MATCH($B229,art_ref,0))/60,2),""))</f>
        <v/>
      </c>
      <c r="K229" s="60" t="str">
        <f>IF(J229="","",IFERROR(MAX(1,ROUNDUP(J229/INDEX(po_cap,MATCH(I229,po_code,0)),0)),""))</f>
        <v/>
      </c>
      <c r="L229" s="61">
        <f>IF(K229="",0,IF(N(H229)&gt;0,H229,WORKDAY.INTL(MAX(p_start-1,SUMPRODUCT(MAX(($I$6:$I228=$I229)*$M$6:$M228))),1,p_weekend,p_holidays)))</f>
        <v>0.0</v>
      </c>
      <c r="M229" s="61">
        <f>IF(K229="",0,WORKDAY.INTL(L229,K229-1,p_weekend,p_holidays))</f>
        <v>0.0</v>
      </c>
      <c r="N229" s="62" t="str">
        <f>IF(OR(M229=0,N(F229)=0,G229="Terminé"),"",F229-M229)</f>
        <v/>
      </c>
      <c r="O229" s="58" t="str">
        <f>IF(B229="","",IF(G229="Annulé","Annulé",IF(G229="Terminé","Terminé",IF(M229=0,"À compléter",IF(N(F229)=0,"Sans échéance",IF(M229&gt;F229,"En retard",IF(F229-M229&lt;=p_margin,"Juste","À l'heure")))))))</f>
        <v/>
      </c>
      <c r="P229" s="55" t="n"/>
      <c r="Q229" s="63" t="str">
        <f>IF(OR(B229="",N(D229)&lt;=0),"",MIN(1,N(P229)/D229))</f>
        <v/>
      </c>
      <c r="R229" s="64" t="str">
        <f>IF(OR(J229="",ISNA(MATCH(I229,po_code,0))),"",ROUND(J229*N(INDEX(po_rate,MATCH(I229,po_code,0))),2))</f>
        <v/>
      </c>
      <c r="S229" s="58" t="str">
        <f>IF(AND(A229="",B229=""),"",IF(B229="","Référence manquante",IF(ISNA(MATCH($B229,art_ref,0)),"Référence inconnue",IF(N(D229)&lt;=0,"Quantité invalide",IF(AND(A229&lt;&gt;"",COUNTIF(of_num,A229)&gt;1),"N° OF en double",IF(G229="Annulé","OK",IF(I229="","Poste manquant (gamme)",IF(ISNA(MATCH(I229,po_code,0)),"Poste inconnu",IF(K229="","Capacité du poste nulle",IF(AND(H229&lt;&gt;"",N(H229)=0),"Début imposé invalide",IF(AND(N(H229)&gt;0,WORKDAY.INTL(H229-1,1,p_weekend,p_holidays)&lt;&gt;H229),"Début un jour chômé",IF(AND(N(H229)&gt;0,H229&lt;=SUMPRODUCT(MAX(($I$6:$I228=$I229)*$M$6:$M228))),"Chevauche l'OF précédent",IF(N(F229)=0,"Date de besoin manquante","OK")))))))))))))</f>
        <v/>
      </c>
      <c r="T229" s="65" t="str">
        <f>IF(K229="","",J229/K229)</f>
        <v/>
      </c>
      <c r="U229" s="66" t="str">
        <f>IF(OR(O229="En retard",O229="Juste"),COUNTIF($O$6:O229,"En retard")+COUNTIF($O$6:O229,"Juste"),"")</f>
        <v/>
      </c>
    </row>
    <row r="230">
      <c r="A230" s="53" t="n"/>
      <c r="B230" s="53" t="n"/>
      <c r="C230" s="54" t="str">
        <f>IF(B230="","",IFERROR(INDEX(art_des,MATCH($B230,art_ref,0)),"Référence inconnue"))</f>
        <v/>
      </c>
      <c r="D230" s="55" t="n"/>
      <c r="E230" s="53" t="n"/>
      <c r="F230" s="56" t="n"/>
      <c r="G230" s="57" t="n"/>
      <c r="H230" s="56" t="n"/>
      <c r="I230" s="58" t="str">
        <f>IF(B230="","",IFERROR(INDEX(art_poste,MATCH($B230,art_ref,0))&amp;"",""))</f>
        <v/>
      </c>
      <c r="J230" s="59" t="str">
        <f>IF(OR(B230="",G230="Annulé",N(D230)&lt;=0),"",IFERROR(ROUND(INDEX(art_setup,MATCH($B230,art_ref,0))+D230*INDEX(art_cycle,MATCH($B230,art_ref,0))/60,2),""))</f>
        <v/>
      </c>
      <c r="K230" s="60" t="str">
        <f>IF(J230="","",IFERROR(MAX(1,ROUNDUP(J230/INDEX(po_cap,MATCH(I230,po_code,0)),0)),""))</f>
        <v/>
      </c>
      <c r="L230" s="61">
        <f>IF(K230="",0,IF(N(H230)&gt;0,H230,WORKDAY.INTL(MAX(p_start-1,SUMPRODUCT(MAX(($I$6:$I229=$I230)*$M$6:$M229))),1,p_weekend,p_holidays)))</f>
        <v>0.0</v>
      </c>
      <c r="M230" s="61">
        <f>IF(K230="",0,WORKDAY.INTL(L230,K230-1,p_weekend,p_holidays))</f>
        <v>0.0</v>
      </c>
      <c r="N230" s="62" t="str">
        <f>IF(OR(M230=0,N(F230)=0,G230="Terminé"),"",F230-M230)</f>
        <v/>
      </c>
      <c r="O230" s="58" t="str">
        <f>IF(B230="","",IF(G230="Annulé","Annulé",IF(G230="Terminé","Terminé",IF(M230=0,"À compléter",IF(N(F230)=0,"Sans échéance",IF(M230&gt;F230,"En retard",IF(F230-M230&lt;=p_margin,"Juste","À l'heure")))))))</f>
        <v/>
      </c>
      <c r="P230" s="55" t="n"/>
      <c r="Q230" s="63" t="str">
        <f>IF(OR(B230="",N(D230)&lt;=0),"",MIN(1,N(P230)/D230))</f>
        <v/>
      </c>
      <c r="R230" s="64" t="str">
        <f>IF(OR(J230="",ISNA(MATCH(I230,po_code,0))),"",ROUND(J230*N(INDEX(po_rate,MATCH(I230,po_code,0))),2))</f>
        <v/>
      </c>
      <c r="S230" s="58" t="str">
        <f>IF(AND(A230="",B230=""),"",IF(B230="","Référence manquante",IF(ISNA(MATCH($B230,art_ref,0)),"Référence inconnue",IF(N(D230)&lt;=0,"Quantité invalide",IF(AND(A230&lt;&gt;"",COUNTIF(of_num,A230)&gt;1),"N° OF en double",IF(G230="Annulé","OK",IF(I230="","Poste manquant (gamme)",IF(ISNA(MATCH(I230,po_code,0)),"Poste inconnu",IF(K230="","Capacité du poste nulle",IF(AND(H230&lt;&gt;"",N(H230)=0),"Début imposé invalide",IF(AND(N(H230)&gt;0,WORKDAY.INTL(H230-1,1,p_weekend,p_holidays)&lt;&gt;H230),"Début un jour chômé",IF(AND(N(H230)&gt;0,H230&lt;=SUMPRODUCT(MAX(($I$6:$I229=$I230)*$M$6:$M229))),"Chevauche l'OF précédent",IF(N(F230)=0,"Date de besoin manquante","OK")))))))))))))</f>
        <v/>
      </c>
      <c r="T230" s="65" t="str">
        <f>IF(K230="","",J230/K230)</f>
        <v/>
      </c>
      <c r="U230" s="66" t="str">
        <f>IF(OR(O230="En retard",O230="Juste"),COUNTIF($O$6:O230,"En retard")+COUNTIF($O$6:O230,"Juste"),"")</f>
        <v/>
      </c>
    </row>
    <row r="231">
      <c r="A231" s="53" t="n"/>
      <c r="B231" s="53" t="n"/>
      <c r="C231" s="54" t="str">
        <f>IF(B231="","",IFERROR(INDEX(art_des,MATCH($B231,art_ref,0)),"Référence inconnue"))</f>
        <v/>
      </c>
      <c r="D231" s="55" t="n"/>
      <c r="E231" s="53" t="n"/>
      <c r="F231" s="56" t="n"/>
      <c r="G231" s="57" t="n"/>
      <c r="H231" s="56" t="n"/>
      <c r="I231" s="58" t="str">
        <f>IF(B231="","",IFERROR(INDEX(art_poste,MATCH($B231,art_ref,0))&amp;"",""))</f>
        <v/>
      </c>
      <c r="J231" s="59" t="str">
        <f>IF(OR(B231="",G231="Annulé",N(D231)&lt;=0),"",IFERROR(ROUND(INDEX(art_setup,MATCH($B231,art_ref,0))+D231*INDEX(art_cycle,MATCH($B231,art_ref,0))/60,2),""))</f>
        <v/>
      </c>
      <c r="K231" s="60" t="str">
        <f>IF(J231="","",IFERROR(MAX(1,ROUNDUP(J231/INDEX(po_cap,MATCH(I231,po_code,0)),0)),""))</f>
        <v/>
      </c>
      <c r="L231" s="61">
        <f>IF(K231="",0,IF(N(H231)&gt;0,H231,WORKDAY.INTL(MAX(p_start-1,SUMPRODUCT(MAX(($I$6:$I230=$I231)*$M$6:$M230))),1,p_weekend,p_holidays)))</f>
        <v>0.0</v>
      </c>
      <c r="M231" s="61">
        <f>IF(K231="",0,WORKDAY.INTL(L231,K231-1,p_weekend,p_holidays))</f>
        <v>0.0</v>
      </c>
      <c r="N231" s="62" t="str">
        <f>IF(OR(M231=0,N(F231)=0,G231="Terminé"),"",F231-M231)</f>
        <v/>
      </c>
      <c r="O231" s="58" t="str">
        <f>IF(B231="","",IF(G231="Annulé","Annulé",IF(G231="Terminé","Terminé",IF(M231=0,"À compléter",IF(N(F231)=0,"Sans échéance",IF(M231&gt;F231,"En retard",IF(F231-M231&lt;=p_margin,"Juste","À l'heure")))))))</f>
        <v/>
      </c>
      <c r="P231" s="55" t="n"/>
      <c r="Q231" s="63" t="str">
        <f>IF(OR(B231="",N(D231)&lt;=0),"",MIN(1,N(P231)/D231))</f>
        <v/>
      </c>
      <c r="R231" s="64" t="str">
        <f>IF(OR(J231="",ISNA(MATCH(I231,po_code,0))),"",ROUND(J231*N(INDEX(po_rate,MATCH(I231,po_code,0))),2))</f>
        <v/>
      </c>
      <c r="S231" s="58" t="str">
        <f>IF(AND(A231="",B231=""),"",IF(B231="","Référence manquante",IF(ISNA(MATCH($B231,art_ref,0)),"Référence inconnue",IF(N(D231)&lt;=0,"Quantité invalide",IF(AND(A231&lt;&gt;"",COUNTIF(of_num,A231)&gt;1),"N° OF en double",IF(G231="Annulé","OK",IF(I231="","Poste manquant (gamme)",IF(ISNA(MATCH(I231,po_code,0)),"Poste inconnu",IF(K231="","Capacité du poste nulle",IF(AND(H231&lt;&gt;"",N(H231)=0),"Début imposé invalide",IF(AND(N(H231)&gt;0,WORKDAY.INTL(H231-1,1,p_weekend,p_holidays)&lt;&gt;H231),"Début un jour chômé",IF(AND(N(H231)&gt;0,H231&lt;=SUMPRODUCT(MAX(($I$6:$I230=$I231)*$M$6:$M230))),"Chevauche l'OF précédent",IF(N(F231)=0,"Date de besoin manquante","OK")))))))))))))</f>
        <v/>
      </c>
      <c r="T231" s="65" t="str">
        <f>IF(K231="","",J231/K231)</f>
        <v/>
      </c>
      <c r="U231" s="66" t="str">
        <f>IF(OR(O231="En retard",O231="Juste"),COUNTIF($O$6:O231,"En retard")+COUNTIF($O$6:O231,"Juste"),"")</f>
        <v/>
      </c>
    </row>
    <row r="232">
      <c r="A232" s="53" t="n"/>
      <c r="B232" s="53" t="n"/>
      <c r="C232" s="54" t="str">
        <f>IF(B232="","",IFERROR(INDEX(art_des,MATCH($B232,art_ref,0)),"Référence inconnue"))</f>
        <v/>
      </c>
      <c r="D232" s="55" t="n"/>
      <c r="E232" s="53" t="n"/>
      <c r="F232" s="56" t="n"/>
      <c r="G232" s="57" t="n"/>
      <c r="H232" s="56" t="n"/>
      <c r="I232" s="58" t="str">
        <f>IF(B232="","",IFERROR(INDEX(art_poste,MATCH($B232,art_ref,0))&amp;"",""))</f>
        <v/>
      </c>
      <c r="J232" s="59" t="str">
        <f>IF(OR(B232="",G232="Annulé",N(D232)&lt;=0),"",IFERROR(ROUND(INDEX(art_setup,MATCH($B232,art_ref,0))+D232*INDEX(art_cycle,MATCH($B232,art_ref,0))/60,2),""))</f>
        <v/>
      </c>
      <c r="K232" s="60" t="str">
        <f>IF(J232="","",IFERROR(MAX(1,ROUNDUP(J232/INDEX(po_cap,MATCH(I232,po_code,0)),0)),""))</f>
        <v/>
      </c>
      <c r="L232" s="61">
        <f>IF(K232="",0,IF(N(H232)&gt;0,H232,WORKDAY.INTL(MAX(p_start-1,SUMPRODUCT(MAX(($I$6:$I231=$I232)*$M$6:$M231))),1,p_weekend,p_holidays)))</f>
        <v>0.0</v>
      </c>
      <c r="M232" s="61">
        <f>IF(K232="",0,WORKDAY.INTL(L232,K232-1,p_weekend,p_holidays))</f>
        <v>0.0</v>
      </c>
      <c r="N232" s="62" t="str">
        <f>IF(OR(M232=0,N(F232)=0,G232="Terminé"),"",F232-M232)</f>
        <v/>
      </c>
      <c r="O232" s="58" t="str">
        <f>IF(B232="","",IF(G232="Annulé","Annulé",IF(G232="Terminé","Terminé",IF(M232=0,"À compléter",IF(N(F232)=0,"Sans échéance",IF(M232&gt;F232,"En retard",IF(F232-M232&lt;=p_margin,"Juste","À l'heure")))))))</f>
        <v/>
      </c>
      <c r="P232" s="55" t="n"/>
      <c r="Q232" s="63" t="str">
        <f>IF(OR(B232="",N(D232)&lt;=0),"",MIN(1,N(P232)/D232))</f>
        <v/>
      </c>
      <c r="R232" s="64" t="str">
        <f>IF(OR(J232="",ISNA(MATCH(I232,po_code,0))),"",ROUND(J232*N(INDEX(po_rate,MATCH(I232,po_code,0))),2))</f>
        <v/>
      </c>
      <c r="S232" s="58" t="str">
        <f>IF(AND(A232="",B232=""),"",IF(B232="","Référence manquante",IF(ISNA(MATCH($B232,art_ref,0)),"Référence inconnue",IF(N(D232)&lt;=0,"Quantité invalide",IF(AND(A232&lt;&gt;"",COUNTIF(of_num,A232)&gt;1),"N° OF en double",IF(G232="Annulé","OK",IF(I232="","Poste manquant (gamme)",IF(ISNA(MATCH(I232,po_code,0)),"Poste inconnu",IF(K232="","Capacité du poste nulle",IF(AND(H232&lt;&gt;"",N(H232)=0),"Début imposé invalide",IF(AND(N(H232)&gt;0,WORKDAY.INTL(H232-1,1,p_weekend,p_holidays)&lt;&gt;H232),"Début un jour chômé",IF(AND(N(H232)&gt;0,H232&lt;=SUMPRODUCT(MAX(($I$6:$I231=$I232)*$M$6:$M231))),"Chevauche l'OF précédent",IF(N(F232)=0,"Date de besoin manquante","OK")))))))))))))</f>
        <v/>
      </c>
      <c r="T232" s="65" t="str">
        <f>IF(K232="","",J232/K232)</f>
        <v/>
      </c>
      <c r="U232" s="66" t="str">
        <f>IF(OR(O232="En retard",O232="Juste"),COUNTIF($O$6:O232,"En retard")+COUNTIF($O$6:O232,"Juste"),"")</f>
        <v/>
      </c>
    </row>
    <row r="233">
      <c r="A233" s="53" t="n"/>
      <c r="B233" s="53" t="n"/>
      <c r="C233" s="54" t="str">
        <f>IF(B233="","",IFERROR(INDEX(art_des,MATCH($B233,art_ref,0)),"Référence inconnue"))</f>
        <v/>
      </c>
      <c r="D233" s="55" t="n"/>
      <c r="E233" s="53" t="n"/>
      <c r="F233" s="56" t="n"/>
      <c r="G233" s="57" t="n"/>
      <c r="H233" s="56" t="n"/>
      <c r="I233" s="58" t="str">
        <f>IF(B233="","",IFERROR(INDEX(art_poste,MATCH($B233,art_ref,0))&amp;"",""))</f>
        <v/>
      </c>
      <c r="J233" s="59" t="str">
        <f>IF(OR(B233="",G233="Annulé",N(D233)&lt;=0),"",IFERROR(ROUND(INDEX(art_setup,MATCH($B233,art_ref,0))+D233*INDEX(art_cycle,MATCH($B233,art_ref,0))/60,2),""))</f>
        <v/>
      </c>
      <c r="K233" s="60" t="str">
        <f>IF(J233="","",IFERROR(MAX(1,ROUNDUP(J233/INDEX(po_cap,MATCH(I233,po_code,0)),0)),""))</f>
        <v/>
      </c>
      <c r="L233" s="61">
        <f>IF(K233="",0,IF(N(H233)&gt;0,H233,WORKDAY.INTL(MAX(p_start-1,SUMPRODUCT(MAX(($I$6:$I232=$I233)*$M$6:$M232))),1,p_weekend,p_holidays)))</f>
        <v>0.0</v>
      </c>
      <c r="M233" s="61">
        <f>IF(K233="",0,WORKDAY.INTL(L233,K233-1,p_weekend,p_holidays))</f>
        <v>0.0</v>
      </c>
      <c r="N233" s="62" t="str">
        <f>IF(OR(M233=0,N(F233)=0,G233="Terminé"),"",F233-M233)</f>
        <v/>
      </c>
      <c r="O233" s="58" t="str">
        <f>IF(B233="","",IF(G233="Annulé","Annulé",IF(G233="Terminé","Terminé",IF(M233=0,"À compléter",IF(N(F233)=0,"Sans échéance",IF(M233&gt;F233,"En retard",IF(F233-M233&lt;=p_margin,"Juste","À l'heure")))))))</f>
        <v/>
      </c>
      <c r="P233" s="55" t="n"/>
      <c r="Q233" s="63" t="str">
        <f>IF(OR(B233="",N(D233)&lt;=0),"",MIN(1,N(P233)/D233))</f>
        <v/>
      </c>
      <c r="R233" s="64" t="str">
        <f>IF(OR(J233="",ISNA(MATCH(I233,po_code,0))),"",ROUND(J233*N(INDEX(po_rate,MATCH(I233,po_code,0))),2))</f>
        <v/>
      </c>
      <c r="S233" s="58" t="str">
        <f>IF(AND(A233="",B233=""),"",IF(B233="","Référence manquante",IF(ISNA(MATCH($B233,art_ref,0)),"Référence inconnue",IF(N(D233)&lt;=0,"Quantité invalide",IF(AND(A233&lt;&gt;"",COUNTIF(of_num,A233)&gt;1),"N° OF en double",IF(G233="Annulé","OK",IF(I233="","Poste manquant (gamme)",IF(ISNA(MATCH(I233,po_code,0)),"Poste inconnu",IF(K233="","Capacité du poste nulle",IF(AND(H233&lt;&gt;"",N(H233)=0),"Début imposé invalide",IF(AND(N(H233)&gt;0,WORKDAY.INTL(H233-1,1,p_weekend,p_holidays)&lt;&gt;H233),"Début un jour chômé",IF(AND(N(H233)&gt;0,H233&lt;=SUMPRODUCT(MAX(($I$6:$I232=$I233)*$M$6:$M232))),"Chevauche l'OF précédent",IF(N(F233)=0,"Date de besoin manquante","OK")))))))))))))</f>
        <v/>
      </c>
      <c r="T233" s="65" t="str">
        <f>IF(K233="","",J233/K233)</f>
        <v/>
      </c>
      <c r="U233" s="66" t="str">
        <f>IF(OR(O233="En retard",O233="Juste"),COUNTIF($O$6:O233,"En retard")+COUNTIF($O$6:O233,"Juste"),"")</f>
        <v/>
      </c>
    </row>
    <row r="234">
      <c r="A234" s="53" t="n"/>
      <c r="B234" s="53" t="n"/>
      <c r="C234" s="54" t="str">
        <f>IF(B234="","",IFERROR(INDEX(art_des,MATCH($B234,art_ref,0)),"Référence inconnue"))</f>
        <v/>
      </c>
      <c r="D234" s="55" t="n"/>
      <c r="E234" s="53" t="n"/>
      <c r="F234" s="56" t="n"/>
      <c r="G234" s="57" t="n"/>
      <c r="H234" s="56" t="n"/>
      <c r="I234" s="58" t="str">
        <f>IF(B234="","",IFERROR(INDEX(art_poste,MATCH($B234,art_ref,0))&amp;"",""))</f>
        <v/>
      </c>
      <c r="J234" s="59" t="str">
        <f>IF(OR(B234="",G234="Annulé",N(D234)&lt;=0),"",IFERROR(ROUND(INDEX(art_setup,MATCH($B234,art_ref,0))+D234*INDEX(art_cycle,MATCH($B234,art_ref,0))/60,2),""))</f>
        <v/>
      </c>
      <c r="K234" s="60" t="str">
        <f>IF(J234="","",IFERROR(MAX(1,ROUNDUP(J234/INDEX(po_cap,MATCH(I234,po_code,0)),0)),""))</f>
        <v/>
      </c>
      <c r="L234" s="61">
        <f>IF(K234="",0,IF(N(H234)&gt;0,H234,WORKDAY.INTL(MAX(p_start-1,SUMPRODUCT(MAX(($I$6:$I233=$I234)*$M$6:$M233))),1,p_weekend,p_holidays)))</f>
        <v>0.0</v>
      </c>
      <c r="M234" s="61">
        <f>IF(K234="",0,WORKDAY.INTL(L234,K234-1,p_weekend,p_holidays))</f>
        <v>0.0</v>
      </c>
      <c r="N234" s="62" t="str">
        <f>IF(OR(M234=0,N(F234)=0,G234="Terminé"),"",F234-M234)</f>
        <v/>
      </c>
      <c r="O234" s="58" t="str">
        <f>IF(B234="","",IF(G234="Annulé","Annulé",IF(G234="Terminé","Terminé",IF(M234=0,"À compléter",IF(N(F234)=0,"Sans échéance",IF(M234&gt;F234,"En retard",IF(F234-M234&lt;=p_margin,"Juste","À l'heure")))))))</f>
        <v/>
      </c>
      <c r="P234" s="55" t="n"/>
      <c r="Q234" s="63" t="str">
        <f>IF(OR(B234="",N(D234)&lt;=0),"",MIN(1,N(P234)/D234))</f>
        <v/>
      </c>
      <c r="R234" s="64" t="str">
        <f>IF(OR(J234="",ISNA(MATCH(I234,po_code,0))),"",ROUND(J234*N(INDEX(po_rate,MATCH(I234,po_code,0))),2))</f>
        <v/>
      </c>
      <c r="S234" s="58" t="str">
        <f>IF(AND(A234="",B234=""),"",IF(B234="","Référence manquante",IF(ISNA(MATCH($B234,art_ref,0)),"Référence inconnue",IF(N(D234)&lt;=0,"Quantité invalide",IF(AND(A234&lt;&gt;"",COUNTIF(of_num,A234)&gt;1),"N° OF en double",IF(G234="Annulé","OK",IF(I234="","Poste manquant (gamme)",IF(ISNA(MATCH(I234,po_code,0)),"Poste inconnu",IF(K234="","Capacité du poste nulle",IF(AND(H234&lt;&gt;"",N(H234)=0),"Début imposé invalide",IF(AND(N(H234)&gt;0,WORKDAY.INTL(H234-1,1,p_weekend,p_holidays)&lt;&gt;H234),"Début un jour chômé",IF(AND(N(H234)&gt;0,H234&lt;=SUMPRODUCT(MAX(($I$6:$I233=$I234)*$M$6:$M233))),"Chevauche l'OF précédent",IF(N(F234)=0,"Date de besoin manquante","OK")))))))))))))</f>
        <v/>
      </c>
      <c r="T234" s="65" t="str">
        <f>IF(K234="","",J234/K234)</f>
        <v/>
      </c>
      <c r="U234" s="66" t="str">
        <f>IF(OR(O234="En retard",O234="Juste"),COUNTIF($O$6:O234,"En retard")+COUNTIF($O$6:O234,"Juste"),"")</f>
        <v/>
      </c>
    </row>
    <row r="235">
      <c r="A235" s="53" t="n"/>
      <c r="B235" s="53" t="n"/>
      <c r="C235" s="54" t="str">
        <f>IF(B235="","",IFERROR(INDEX(art_des,MATCH($B235,art_ref,0)),"Référence inconnue"))</f>
        <v/>
      </c>
      <c r="D235" s="55" t="n"/>
      <c r="E235" s="53" t="n"/>
      <c r="F235" s="56" t="n"/>
      <c r="G235" s="57" t="n"/>
      <c r="H235" s="56" t="n"/>
      <c r="I235" s="58" t="str">
        <f>IF(B235="","",IFERROR(INDEX(art_poste,MATCH($B235,art_ref,0))&amp;"",""))</f>
        <v/>
      </c>
      <c r="J235" s="59" t="str">
        <f>IF(OR(B235="",G235="Annulé",N(D235)&lt;=0),"",IFERROR(ROUND(INDEX(art_setup,MATCH($B235,art_ref,0))+D235*INDEX(art_cycle,MATCH($B235,art_ref,0))/60,2),""))</f>
        <v/>
      </c>
      <c r="K235" s="60" t="str">
        <f>IF(J235="","",IFERROR(MAX(1,ROUNDUP(J235/INDEX(po_cap,MATCH(I235,po_code,0)),0)),""))</f>
        <v/>
      </c>
      <c r="L235" s="61">
        <f>IF(K235="",0,IF(N(H235)&gt;0,H235,WORKDAY.INTL(MAX(p_start-1,SUMPRODUCT(MAX(($I$6:$I234=$I235)*$M$6:$M234))),1,p_weekend,p_holidays)))</f>
        <v>0.0</v>
      </c>
      <c r="M235" s="61">
        <f>IF(K235="",0,WORKDAY.INTL(L235,K235-1,p_weekend,p_holidays))</f>
        <v>0.0</v>
      </c>
      <c r="N235" s="62" t="str">
        <f>IF(OR(M235=0,N(F235)=0,G235="Terminé"),"",F235-M235)</f>
        <v/>
      </c>
      <c r="O235" s="58" t="str">
        <f>IF(B235="","",IF(G235="Annulé","Annulé",IF(G235="Terminé","Terminé",IF(M235=0,"À compléter",IF(N(F235)=0,"Sans échéance",IF(M235&gt;F235,"En retard",IF(F235-M235&lt;=p_margin,"Juste","À l'heure")))))))</f>
        <v/>
      </c>
      <c r="P235" s="55" t="n"/>
      <c r="Q235" s="63" t="str">
        <f>IF(OR(B235="",N(D235)&lt;=0),"",MIN(1,N(P235)/D235))</f>
        <v/>
      </c>
      <c r="R235" s="64" t="str">
        <f>IF(OR(J235="",ISNA(MATCH(I235,po_code,0))),"",ROUND(J235*N(INDEX(po_rate,MATCH(I235,po_code,0))),2))</f>
        <v/>
      </c>
      <c r="S235" s="58" t="str">
        <f>IF(AND(A235="",B235=""),"",IF(B235="","Référence manquante",IF(ISNA(MATCH($B235,art_ref,0)),"Référence inconnue",IF(N(D235)&lt;=0,"Quantité invalide",IF(AND(A235&lt;&gt;"",COUNTIF(of_num,A235)&gt;1),"N° OF en double",IF(G235="Annulé","OK",IF(I235="","Poste manquant (gamme)",IF(ISNA(MATCH(I235,po_code,0)),"Poste inconnu",IF(K235="","Capacité du poste nulle",IF(AND(H235&lt;&gt;"",N(H235)=0),"Début imposé invalide",IF(AND(N(H235)&gt;0,WORKDAY.INTL(H235-1,1,p_weekend,p_holidays)&lt;&gt;H235),"Début un jour chômé",IF(AND(N(H235)&gt;0,H235&lt;=SUMPRODUCT(MAX(($I$6:$I234=$I235)*$M$6:$M234))),"Chevauche l'OF précédent",IF(N(F235)=0,"Date de besoin manquante","OK")))))))))))))</f>
        <v/>
      </c>
      <c r="T235" s="65" t="str">
        <f>IF(K235="","",J235/K235)</f>
        <v/>
      </c>
      <c r="U235" s="66" t="str">
        <f>IF(OR(O235="En retard",O235="Juste"),COUNTIF($O$6:O235,"En retard")+COUNTIF($O$6:O235,"Juste"),"")</f>
        <v/>
      </c>
    </row>
    <row r="236">
      <c r="A236" s="53" t="n"/>
      <c r="B236" s="53" t="n"/>
      <c r="C236" s="54" t="str">
        <f>IF(B236="","",IFERROR(INDEX(art_des,MATCH($B236,art_ref,0)),"Référence inconnue"))</f>
        <v/>
      </c>
      <c r="D236" s="55" t="n"/>
      <c r="E236" s="53" t="n"/>
      <c r="F236" s="56" t="n"/>
      <c r="G236" s="57" t="n"/>
      <c r="H236" s="56" t="n"/>
      <c r="I236" s="58" t="str">
        <f>IF(B236="","",IFERROR(INDEX(art_poste,MATCH($B236,art_ref,0))&amp;"",""))</f>
        <v/>
      </c>
      <c r="J236" s="59" t="str">
        <f>IF(OR(B236="",G236="Annulé",N(D236)&lt;=0),"",IFERROR(ROUND(INDEX(art_setup,MATCH($B236,art_ref,0))+D236*INDEX(art_cycle,MATCH($B236,art_ref,0))/60,2),""))</f>
        <v/>
      </c>
      <c r="K236" s="60" t="str">
        <f>IF(J236="","",IFERROR(MAX(1,ROUNDUP(J236/INDEX(po_cap,MATCH(I236,po_code,0)),0)),""))</f>
        <v/>
      </c>
      <c r="L236" s="61">
        <f>IF(K236="",0,IF(N(H236)&gt;0,H236,WORKDAY.INTL(MAX(p_start-1,SUMPRODUCT(MAX(($I$6:$I235=$I236)*$M$6:$M235))),1,p_weekend,p_holidays)))</f>
        <v>0.0</v>
      </c>
      <c r="M236" s="61">
        <f>IF(K236="",0,WORKDAY.INTL(L236,K236-1,p_weekend,p_holidays))</f>
        <v>0.0</v>
      </c>
      <c r="N236" s="62" t="str">
        <f>IF(OR(M236=0,N(F236)=0,G236="Terminé"),"",F236-M236)</f>
        <v/>
      </c>
      <c r="O236" s="58" t="str">
        <f>IF(B236="","",IF(G236="Annulé","Annulé",IF(G236="Terminé","Terminé",IF(M236=0,"À compléter",IF(N(F236)=0,"Sans échéance",IF(M236&gt;F236,"En retard",IF(F236-M236&lt;=p_margin,"Juste","À l'heure")))))))</f>
        <v/>
      </c>
      <c r="P236" s="55" t="n"/>
      <c r="Q236" s="63" t="str">
        <f>IF(OR(B236="",N(D236)&lt;=0),"",MIN(1,N(P236)/D236))</f>
        <v/>
      </c>
      <c r="R236" s="64" t="str">
        <f>IF(OR(J236="",ISNA(MATCH(I236,po_code,0))),"",ROUND(J236*N(INDEX(po_rate,MATCH(I236,po_code,0))),2))</f>
        <v/>
      </c>
      <c r="S236" s="58" t="str">
        <f>IF(AND(A236="",B236=""),"",IF(B236="","Référence manquante",IF(ISNA(MATCH($B236,art_ref,0)),"Référence inconnue",IF(N(D236)&lt;=0,"Quantité invalide",IF(AND(A236&lt;&gt;"",COUNTIF(of_num,A236)&gt;1),"N° OF en double",IF(G236="Annulé","OK",IF(I236="","Poste manquant (gamme)",IF(ISNA(MATCH(I236,po_code,0)),"Poste inconnu",IF(K236="","Capacité du poste nulle",IF(AND(H236&lt;&gt;"",N(H236)=0),"Début imposé invalide",IF(AND(N(H236)&gt;0,WORKDAY.INTL(H236-1,1,p_weekend,p_holidays)&lt;&gt;H236),"Début un jour chômé",IF(AND(N(H236)&gt;0,H236&lt;=SUMPRODUCT(MAX(($I$6:$I235=$I236)*$M$6:$M235))),"Chevauche l'OF précédent",IF(N(F236)=0,"Date de besoin manquante","OK")))))))))))))</f>
        <v/>
      </c>
      <c r="T236" s="65" t="str">
        <f>IF(K236="","",J236/K236)</f>
        <v/>
      </c>
      <c r="U236" s="66" t="str">
        <f>IF(OR(O236="En retard",O236="Juste"),COUNTIF($O$6:O236,"En retard")+COUNTIF($O$6:O236,"Juste"),"")</f>
        <v/>
      </c>
    </row>
    <row r="237">
      <c r="A237" s="53" t="n"/>
      <c r="B237" s="53" t="n"/>
      <c r="C237" s="54" t="str">
        <f>IF(B237="","",IFERROR(INDEX(art_des,MATCH($B237,art_ref,0)),"Référence inconnue"))</f>
        <v/>
      </c>
      <c r="D237" s="55" t="n"/>
      <c r="E237" s="53" t="n"/>
      <c r="F237" s="56" t="n"/>
      <c r="G237" s="57" t="n"/>
      <c r="H237" s="56" t="n"/>
      <c r="I237" s="58" t="str">
        <f>IF(B237="","",IFERROR(INDEX(art_poste,MATCH($B237,art_ref,0))&amp;"",""))</f>
        <v/>
      </c>
      <c r="J237" s="59" t="str">
        <f>IF(OR(B237="",G237="Annulé",N(D237)&lt;=0),"",IFERROR(ROUND(INDEX(art_setup,MATCH($B237,art_ref,0))+D237*INDEX(art_cycle,MATCH($B237,art_ref,0))/60,2),""))</f>
        <v/>
      </c>
      <c r="K237" s="60" t="str">
        <f>IF(J237="","",IFERROR(MAX(1,ROUNDUP(J237/INDEX(po_cap,MATCH(I237,po_code,0)),0)),""))</f>
        <v/>
      </c>
      <c r="L237" s="61">
        <f>IF(K237="",0,IF(N(H237)&gt;0,H237,WORKDAY.INTL(MAX(p_start-1,SUMPRODUCT(MAX(($I$6:$I236=$I237)*$M$6:$M236))),1,p_weekend,p_holidays)))</f>
        <v>0.0</v>
      </c>
      <c r="M237" s="61">
        <f>IF(K237="",0,WORKDAY.INTL(L237,K237-1,p_weekend,p_holidays))</f>
        <v>0.0</v>
      </c>
      <c r="N237" s="62" t="str">
        <f>IF(OR(M237=0,N(F237)=0,G237="Terminé"),"",F237-M237)</f>
        <v/>
      </c>
      <c r="O237" s="58" t="str">
        <f>IF(B237="","",IF(G237="Annulé","Annulé",IF(G237="Terminé","Terminé",IF(M237=0,"À compléter",IF(N(F237)=0,"Sans échéance",IF(M237&gt;F237,"En retard",IF(F237-M237&lt;=p_margin,"Juste","À l'heure")))))))</f>
        <v/>
      </c>
      <c r="P237" s="55" t="n"/>
      <c r="Q237" s="63" t="str">
        <f>IF(OR(B237="",N(D237)&lt;=0),"",MIN(1,N(P237)/D237))</f>
        <v/>
      </c>
      <c r="R237" s="64" t="str">
        <f>IF(OR(J237="",ISNA(MATCH(I237,po_code,0))),"",ROUND(J237*N(INDEX(po_rate,MATCH(I237,po_code,0))),2))</f>
        <v/>
      </c>
      <c r="S237" s="58" t="str">
        <f>IF(AND(A237="",B237=""),"",IF(B237="","Référence manquante",IF(ISNA(MATCH($B237,art_ref,0)),"Référence inconnue",IF(N(D237)&lt;=0,"Quantité invalide",IF(AND(A237&lt;&gt;"",COUNTIF(of_num,A237)&gt;1),"N° OF en double",IF(G237="Annulé","OK",IF(I237="","Poste manquant (gamme)",IF(ISNA(MATCH(I237,po_code,0)),"Poste inconnu",IF(K237="","Capacité du poste nulle",IF(AND(H237&lt;&gt;"",N(H237)=0),"Début imposé invalide",IF(AND(N(H237)&gt;0,WORKDAY.INTL(H237-1,1,p_weekend,p_holidays)&lt;&gt;H237),"Début un jour chômé",IF(AND(N(H237)&gt;0,H237&lt;=SUMPRODUCT(MAX(($I$6:$I236=$I237)*$M$6:$M236))),"Chevauche l'OF précédent",IF(N(F237)=0,"Date de besoin manquante","OK")))))))))))))</f>
        <v/>
      </c>
      <c r="T237" s="65" t="str">
        <f>IF(K237="","",J237/K237)</f>
        <v/>
      </c>
      <c r="U237" s="66" t="str">
        <f>IF(OR(O237="En retard",O237="Juste"),COUNTIF($O$6:O237,"En retard")+COUNTIF($O$6:O237,"Juste"),"")</f>
        <v/>
      </c>
    </row>
    <row r="238">
      <c r="A238" s="53" t="n"/>
      <c r="B238" s="53" t="n"/>
      <c r="C238" s="54" t="str">
        <f>IF(B238="","",IFERROR(INDEX(art_des,MATCH($B238,art_ref,0)),"Référence inconnue"))</f>
        <v/>
      </c>
      <c r="D238" s="55" t="n"/>
      <c r="E238" s="53" t="n"/>
      <c r="F238" s="56" t="n"/>
      <c r="G238" s="57" t="n"/>
      <c r="H238" s="56" t="n"/>
      <c r="I238" s="58" t="str">
        <f>IF(B238="","",IFERROR(INDEX(art_poste,MATCH($B238,art_ref,0))&amp;"",""))</f>
        <v/>
      </c>
      <c r="J238" s="59" t="str">
        <f>IF(OR(B238="",G238="Annulé",N(D238)&lt;=0),"",IFERROR(ROUND(INDEX(art_setup,MATCH($B238,art_ref,0))+D238*INDEX(art_cycle,MATCH($B238,art_ref,0))/60,2),""))</f>
        <v/>
      </c>
      <c r="K238" s="60" t="str">
        <f>IF(J238="","",IFERROR(MAX(1,ROUNDUP(J238/INDEX(po_cap,MATCH(I238,po_code,0)),0)),""))</f>
        <v/>
      </c>
      <c r="L238" s="61">
        <f>IF(K238="",0,IF(N(H238)&gt;0,H238,WORKDAY.INTL(MAX(p_start-1,SUMPRODUCT(MAX(($I$6:$I237=$I238)*$M$6:$M237))),1,p_weekend,p_holidays)))</f>
        <v>0.0</v>
      </c>
      <c r="M238" s="61">
        <f>IF(K238="",0,WORKDAY.INTL(L238,K238-1,p_weekend,p_holidays))</f>
        <v>0.0</v>
      </c>
      <c r="N238" s="62" t="str">
        <f>IF(OR(M238=0,N(F238)=0,G238="Terminé"),"",F238-M238)</f>
        <v/>
      </c>
      <c r="O238" s="58" t="str">
        <f>IF(B238="","",IF(G238="Annulé","Annulé",IF(G238="Terminé","Terminé",IF(M238=0,"À compléter",IF(N(F238)=0,"Sans échéance",IF(M238&gt;F238,"En retard",IF(F238-M238&lt;=p_margin,"Juste","À l'heure")))))))</f>
        <v/>
      </c>
      <c r="P238" s="55" t="n"/>
      <c r="Q238" s="63" t="str">
        <f>IF(OR(B238="",N(D238)&lt;=0),"",MIN(1,N(P238)/D238))</f>
        <v/>
      </c>
      <c r="R238" s="64" t="str">
        <f>IF(OR(J238="",ISNA(MATCH(I238,po_code,0))),"",ROUND(J238*N(INDEX(po_rate,MATCH(I238,po_code,0))),2))</f>
        <v/>
      </c>
      <c r="S238" s="58" t="str">
        <f>IF(AND(A238="",B238=""),"",IF(B238="","Référence manquante",IF(ISNA(MATCH($B238,art_ref,0)),"Référence inconnue",IF(N(D238)&lt;=0,"Quantité invalide",IF(AND(A238&lt;&gt;"",COUNTIF(of_num,A238)&gt;1),"N° OF en double",IF(G238="Annulé","OK",IF(I238="","Poste manquant (gamme)",IF(ISNA(MATCH(I238,po_code,0)),"Poste inconnu",IF(K238="","Capacité du poste nulle",IF(AND(H238&lt;&gt;"",N(H238)=0),"Début imposé invalide",IF(AND(N(H238)&gt;0,WORKDAY.INTL(H238-1,1,p_weekend,p_holidays)&lt;&gt;H238),"Début un jour chômé",IF(AND(N(H238)&gt;0,H238&lt;=SUMPRODUCT(MAX(($I$6:$I237=$I238)*$M$6:$M237))),"Chevauche l'OF précédent",IF(N(F238)=0,"Date de besoin manquante","OK")))))))))))))</f>
        <v/>
      </c>
      <c r="T238" s="65" t="str">
        <f>IF(K238="","",J238/K238)</f>
        <v/>
      </c>
      <c r="U238" s="66" t="str">
        <f>IF(OR(O238="En retard",O238="Juste"),COUNTIF($O$6:O238,"En retard")+COUNTIF($O$6:O238,"Juste"),"")</f>
        <v/>
      </c>
    </row>
    <row r="239">
      <c r="A239" s="53" t="n"/>
      <c r="B239" s="53" t="n"/>
      <c r="C239" s="54" t="str">
        <f>IF(B239="","",IFERROR(INDEX(art_des,MATCH($B239,art_ref,0)),"Référence inconnue"))</f>
        <v/>
      </c>
      <c r="D239" s="55" t="n"/>
      <c r="E239" s="53" t="n"/>
      <c r="F239" s="56" t="n"/>
      <c r="G239" s="57" t="n"/>
      <c r="H239" s="56" t="n"/>
      <c r="I239" s="58" t="str">
        <f>IF(B239="","",IFERROR(INDEX(art_poste,MATCH($B239,art_ref,0))&amp;"",""))</f>
        <v/>
      </c>
      <c r="J239" s="59" t="str">
        <f>IF(OR(B239="",G239="Annulé",N(D239)&lt;=0),"",IFERROR(ROUND(INDEX(art_setup,MATCH($B239,art_ref,0))+D239*INDEX(art_cycle,MATCH($B239,art_ref,0))/60,2),""))</f>
        <v/>
      </c>
      <c r="K239" s="60" t="str">
        <f>IF(J239="","",IFERROR(MAX(1,ROUNDUP(J239/INDEX(po_cap,MATCH(I239,po_code,0)),0)),""))</f>
        <v/>
      </c>
      <c r="L239" s="61">
        <f>IF(K239="",0,IF(N(H239)&gt;0,H239,WORKDAY.INTL(MAX(p_start-1,SUMPRODUCT(MAX(($I$6:$I238=$I239)*$M$6:$M238))),1,p_weekend,p_holidays)))</f>
        <v>0.0</v>
      </c>
      <c r="M239" s="61">
        <f>IF(K239="",0,WORKDAY.INTL(L239,K239-1,p_weekend,p_holidays))</f>
        <v>0.0</v>
      </c>
      <c r="N239" s="62" t="str">
        <f>IF(OR(M239=0,N(F239)=0,G239="Terminé"),"",F239-M239)</f>
        <v/>
      </c>
      <c r="O239" s="58" t="str">
        <f>IF(B239="","",IF(G239="Annulé","Annulé",IF(G239="Terminé","Terminé",IF(M239=0,"À compléter",IF(N(F239)=0,"Sans échéance",IF(M239&gt;F239,"En retard",IF(F239-M239&lt;=p_margin,"Juste","À l'heure")))))))</f>
        <v/>
      </c>
      <c r="P239" s="55" t="n"/>
      <c r="Q239" s="63" t="str">
        <f>IF(OR(B239="",N(D239)&lt;=0),"",MIN(1,N(P239)/D239))</f>
        <v/>
      </c>
      <c r="R239" s="64" t="str">
        <f>IF(OR(J239="",ISNA(MATCH(I239,po_code,0))),"",ROUND(J239*N(INDEX(po_rate,MATCH(I239,po_code,0))),2))</f>
        <v/>
      </c>
      <c r="S239" s="58" t="str">
        <f>IF(AND(A239="",B239=""),"",IF(B239="","Référence manquante",IF(ISNA(MATCH($B239,art_ref,0)),"Référence inconnue",IF(N(D239)&lt;=0,"Quantité invalide",IF(AND(A239&lt;&gt;"",COUNTIF(of_num,A239)&gt;1),"N° OF en double",IF(G239="Annulé","OK",IF(I239="","Poste manquant (gamme)",IF(ISNA(MATCH(I239,po_code,0)),"Poste inconnu",IF(K239="","Capacité du poste nulle",IF(AND(H239&lt;&gt;"",N(H239)=0),"Début imposé invalide",IF(AND(N(H239)&gt;0,WORKDAY.INTL(H239-1,1,p_weekend,p_holidays)&lt;&gt;H239),"Début un jour chômé",IF(AND(N(H239)&gt;0,H239&lt;=SUMPRODUCT(MAX(($I$6:$I238=$I239)*$M$6:$M238))),"Chevauche l'OF précédent",IF(N(F239)=0,"Date de besoin manquante","OK")))))))))))))</f>
        <v/>
      </c>
      <c r="T239" s="65" t="str">
        <f>IF(K239="","",J239/K239)</f>
        <v/>
      </c>
      <c r="U239" s="66" t="str">
        <f>IF(OR(O239="En retard",O239="Juste"),COUNTIF($O$6:O239,"En retard")+COUNTIF($O$6:O239,"Juste"),"")</f>
        <v/>
      </c>
    </row>
    <row r="240">
      <c r="A240" s="53" t="n"/>
      <c r="B240" s="53" t="n"/>
      <c r="C240" s="54" t="str">
        <f>IF(B240="","",IFERROR(INDEX(art_des,MATCH($B240,art_ref,0)),"Référence inconnue"))</f>
        <v/>
      </c>
      <c r="D240" s="55" t="n"/>
      <c r="E240" s="53" t="n"/>
      <c r="F240" s="56" t="n"/>
      <c r="G240" s="57" t="n"/>
      <c r="H240" s="56" t="n"/>
      <c r="I240" s="58" t="str">
        <f>IF(B240="","",IFERROR(INDEX(art_poste,MATCH($B240,art_ref,0))&amp;"",""))</f>
        <v/>
      </c>
      <c r="J240" s="59" t="str">
        <f>IF(OR(B240="",G240="Annulé",N(D240)&lt;=0),"",IFERROR(ROUND(INDEX(art_setup,MATCH($B240,art_ref,0))+D240*INDEX(art_cycle,MATCH($B240,art_ref,0))/60,2),""))</f>
        <v/>
      </c>
      <c r="K240" s="60" t="str">
        <f>IF(J240="","",IFERROR(MAX(1,ROUNDUP(J240/INDEX(po_cap,MATCH(I240,po_code,0)),0)),""))</f>
        <v/>
      </c>
      <c r="L240" s="61">
        <f>IF(K240="",0,IF(N(H240)&gt;0,H240,WORKDAY.INTL(MAX(p_start-1,SUMPRODUCT(MAX(($I$6:$I239=$I240)*$M$6:$M239))),1,p_weekend,p_holidays)))</f>
        <v>0.0</v>
      </c>
      <c r="M240" s="61">
        <f>IF(K240="",0,WORKDAY.INTL(L240,K240-1,p_weekend,p_holidays))</f>
        <v>0.0</v>
      </c>
      <c r="N240" s="62" t="str">
        <f>IF(OR(M240=0,N(F240)=0,G240="Terminé"),"",F240-M240)</f>
        <v/>
      </c>
      <c r="O240" s="58" t="str">
        <f>IF(B240="","",IF(G240="Annulé","Annulé",IF(G240="Terminé","Terminé",IF(M240=0,"À compléter",IF(N(F240)=0,"Sans échéance",IF(M240&gt;F240,"En retard",IF(F240-M240&lt;=p_margin,"Juste","À l'heure")))))))</f>
        <v/>
      </c>
      <c r="P240" s="55" t="n"/>
      <c r="Q240" s="63" t="str">
        <f>IF(OR(B240="",N(D240)&lt;=0),"",MIN(1,N(P240)/D240))</f>
        <v/>
      </c>
      <c r="R240" s="64" t="str">
        <f>IF(OR(J240="",ISNA(MATCH(I240,po_code,0))),"",ROUND(J240*N(INDEX(po_rate,MATCH(I240,po_code,0))),2))</f>
        <v/>
      </c>
      <c r="S240" s="58" t="str">
        <f>IF(AND(A240="",B240=""),"",IF(B240="","Référence manquante",IF(ISNA(MATCH($B240,art_ref,0)),"Référence inconnue",IF(N(D240)&lt;=0,"Quantité invalide",IF(AND(A240&lt;&gt;"",COUNTIF(of_num,A240)&gt;1),"N° OF en double",IF(G240="Annulé","OK",IF(I240="","Poste manquant (gamme)",IF(ISNA(MATCH(I240,po_code,0)),"Poste inconnu",IF(K240="","Capacité du poste nulle",IF(AND(H240&lt;&gt;"",N(H240)=0),"Début imposé invalide",IF(AND(N(H240)&gt;0,WORKDAY.INTL(H240-1,1,p_weekend,p_holidays)&lt;&gt;H240),"Début un jour chômé",IF(AND(N(H240)&gt;0,H240&lt;=SUMPRODUCT(MAX(($I$6:$I239=$I240)*$M$6:$M239))),"Chevauche l'OF précédent",IF(N(F240)=0,"Date de besoin manquante","OK")))))))))))))</f>
        <v/>
      </c>
      <c r="T240" s="65" t="str">
        <f>IF(K240="","",J240/K240)</f>
        <v/>
      </c>
      <c r="U240" s="66" t="str">
        <f>IF(OR(O240="En retard",O240="Juste"),COUNTIF($O$6:O240,"En retard")+COUNTIF($O$6:O240,"Juste"),"")</f>
        <v/>
      </c>
    </row>
    <row r="241">
      <c r="A241" s="53" t="n"/>
      <c r="B241" s="53" t="n"/>
      <c r="C241" s="54" t="str">
        <f>IF(B241="","",IFERROR(INDEX(art_des,MATCH($B241,art_ref,0)),"Référence inconnue"))</f>
        <v/>
      </c>
      <c r="D241" s="55" t="n"/>
      <c r="E241" s="53" t="n"/>
      <c r="F241" s="56" t="n"/>
      <c r="G241" s="57" t="n"/>
      <c r="H241" s="56" t="n"/>
      <c r="I241" s="58" t="str">
        <f>IF(B241="","",IFERROR(INDEX(art_poste,MATCH($B241,art_ref,0))&amp;"",""))</f>
        <v/>
      </c>
      <c r="J241" s="59" t="str">
        <f>IF(OR(B241="",G241="Annulé",N(D241)&lt;=0),"",IFERROR(ROUND(INDEX(art_setup,MATCH($B241,art_ref,0))+D241*INDEX(art_cycle,MATCH($B241,art_ref,0))/60,2),""))</f>
        <v/>
      </c>
      <c r="K241" s="60" t="str">
        <f>IF(J241="","",IFERROR(MAX(1,ROUNDUP(J241/INDEX(po_cap,MATCH(I241,po_code,0)),0)),""))</f>
        <v/>
      </c>
      <c r="L241" s="61">
        <f>IF(K241="",0,IF(N(H241)&gt;0,H241,WORKDAY.INTL(MAX(p_start-1,SUMPRODUCT(MAX(($I$6:$I240=$I241)*$M$6:$M240))),1,p_weekend,p_holidays)))</f>
        <v>0.0</v>
      </c>
      <c r="M241" s="61">
        <f>IF(K241="",0,WORKDAY.INTL(L241,K241-1,p_weekend,p_holidays))</f>
        <v>0.0</v>
      </c>
      <c r="N241" s="62" t="str">
        <f>IF(OR(M241=0,N(F241)=0,G241="Terminé"),"",F241-M241)</f>
        <v/>
      </c>
      <c r="O241" s="58" t="str">
        <f>IF(B241="","",IF(G241="Annulé","Annulé",IF(G241="Terminé","Terminé",IF(M241=0,"À compléter",IF(N(F241)=0,"Sans échéance",IF(M241&gt;F241,"En retard",IF(F241-M241&lt;=p_margin,"Juste","À l'heure")))))))</f>
        <v/>
      </c>
      <c r="P241" s="55" t="n"/>
      <c r="Q241" s="63" t="str">
        <f>IF(OR(B241="",N(D241)&lt;=0),"",MIN(1,N(P241)/D241))</f>
        <v/>
      </c>
      <c r="R241" s="64" t="str">
        <f>IF(OR(J241="",ISNA(MATCH(I241,po_code,0))),"",ROUND(J241*N(INDEX(po_rate,MATCH(I241,po_code,0))),2))</f>
        <v/>
      </c>
      <c r="S241" s="58" t="str">
        <f>IF(AND(A241="",B241=""),"",IF(B241="","Référence manquante",IF(ISNA(MATCH($B241,art_ref,0)),"Référence inconnue",IF(N(D241)&lt;=0,"Quantité invalide",IF(AND(A241&lt;&gt;"",COUNTIF(of_num,A241)&gt;1),"N° OF en double",IF(G241="Annulé","OK",IF(I241="","Poste manquant (gamme)",IF(ISNA(MATCH(I241,po_code,0)),"Poste inconnu",IF(K241="","Capacité du poste nulle",IF(AND(H241&lt;&gt;"",N(H241)=0),"Début imposé invalide",IF(AND(N(H241)&gt;0,WORKDAY.INTL(H241-1,1,p_weekend,p_holidays)&lt;&gt;H241),"Début un jour chômé",IF(AND(N(H241)&gt;0,H241&lt;=SUMPRODUCT(MAX(($I$6:$I240=$I241)*$M$6:$M240))),"Chevauche l'OF précédent",IF(N(F241)=0,"Date de besoin manquante","OK")))))))))))))</f>
        <v/>
      </c>
      <c r="T241" s="65" t="str">
        <f>IF(K241="","",J241/K241)</f>
        <v/>
      </c>
      <c r="U241" s="66" t="str">
        <f>IF(OR(O241="En retard",O241="Juste"),COUNTIF($O$6:O241,"En retard")+COUNTIF($O$6:O241,"Juste"),"")</f>
        <v/>
      </c>
    </row>
    <row r="242">
      <c r="A242" s="53" t="n"/>
      <c r="B242" s="53" t="n"/>
      <c r="C242" s="54" t="str">
        <f>IF(B242="","",IFERROR(INDEX(art_des,MATCH($B242,art_ref,0)),"Référence inconnue"))</f>
        <v/>
      </c>
      <c r="D242" s="55" t="n"/>
      <c r="E242" s="53" t="n"/>
      <c r="F242" s="56" t="n"/>
      <c r="G242" s="57" t="n"/>
      <c r="H242" s="56" t="n"/>
      <c r="I242" s="58" t="str">
        <f>IF(B242="","",IFERROR(INDEX(art_poste,MATCH($B242,art_ref,0))&amp;"",""))</f>
        <v/>
      </c>
      <c r="J242" s="59" t="str">
        <f>IF(OR(B242="",G242="Annulé",N(D242)&lt;=0),"",IFERROR(ROUND(INDEX(art_setup,MATCH($B242,art_ref,0))+D242*INDEX(art_cycle,MATCH($B242,art_ref,0))/60,2),""))</f>
        <v/>
      </c>
      <c r="K242" s="60" t="str">
        <f>IF(J242="","",IFERROR(MAX(1,ROUNDUP(J242/INDEX(po_cap,MATCH(I242,po_code,0)),0)),""))</f>
        <v/>
      </c>
      <c r="L242" s="61">
        <f>IF(K242="",0,IF(N(H242)&gt;0,H242,WORKDAY.INTL(MAX(p_start-1,SUMPRODUCT(MAX(($I$6:$I241=$I242)*$M$6:$M241))),1,p_weekend,p_holidays)))</f>
        <v>0.0</v>
      </c>
      <c r="M242" s="61">
        <f>IF(K242="",0,WORKDAY.INTL(L242,K242-1,p_weekend,p_holidays))</f>
        <v>0.0</v>
      </c>
      <c r="N242" s="62" t="str">
        <f>IF(OR(M242=0,N(F242)=0,G242="Terminé"),"",F242-M242)</f>
        <v/>
      </c>
      <c r="O242" s="58" t="str">
        <f>IF(B242="","",IF(G242="Annulé","Annulé",IF(G242="Terminé","Terminé",IF(M242=0,"À compléter",IF(N(F242)=0,"Sans échéance",IF(M242&gt;F242,"En retard",IF(F242-M242&lt;=p_margin,"Juste","À l'heure")))))))</f>
        <v/>
      </c>
      <c r="P242" s="55" t="n"/>
      <c r="Q242" s="63" t="str">
        <f>IF(OR(B242="",N(D242)&lt;=0),"",MIN(1,N(P242)/D242))</f>
        <v/>
      </c>
      <c r="R242" s="64" t="str">
        <f>IF(OR(J242="",ISNA(MATCH(I242,po_code,0))),"",ROUND(J242*N(INDEX(po_rate,MATCH(I242,po_code,0))),2))</f>
        <v/>
      </c>
      <c r="S242" s="58" t="str">
        <f>IF(AND(A242="",B242=""),"",IF(B242="","Référence manquante",IF(ISNA(MATCH($B242,art_ref,0)),"Référence inconnue",IF(N(D242)&lt;=0,"Quantité invalide",IF(AND(A242&lt;&gt;"",COUNTIF(of_num,A242)&gt;1),"N° OF en double",IF(G242="Annulé","OK",IF(I242="","Poste manquant (gamme)",IF(ISNA(MATCH(I242,po_code,0)),"Poste inconnu",IF(K242="","Capacité du poste nulle",IF(AND(H242&lt;&gt;"",N(H242)=0),"Début imposé invalide",IF(AND(N(H242)&gt;0,WORKDAY.INTL(H242-1,1,p_weekend,p_holidays)&lt;&gt;H242),"Début un jour chômé",IF(AND(N(H242)&gt;0,H242&lt;=SUMPRODUCT(MAX(($I$6:$I241=$I242)*$M$6:$M241))),"Chevauche l'OF précédent",IF(N(F242)=0,"Date de besoin manquante","OK")))))))))))))</f>
        <v/>
      </c>
      <c r="T242" s="65" t="str">
        <f>IF(K242="","",J242/K242)</f>
        <v/>
      </c>
      <c r="U242" s="66" t="str">
        <f>IF(OR(O242="En retard",O242="Juste"),COUNTIF($O$6:O242,"En retard")+COUNTIF($O$6:O242,"Juste"),"")</f>
        <v/>
      </c>
    </row>
    <row r="243">
      <c r="A243" s="53" t="n"/>
      <c r="B243" s="53" t="n"/>
      <c r="C243" s="54" t="str">
        <f>IF(B243="","",IFERROR(INDEX(art_des,MATCH($B243,art_ref,0)),"Référence inconnue"))</f>
        <v/>
      </c>
      <c r="D243" s="55" t="n"/>
      <c r="E243" s="53" t="n"/>
      <c r="F243" s="56" t="n"/>
      <c r="G243" s="57" t="n"/>
      <c r="H243" s="56" t="n"/>
      <c r="I243" s="58" t="str">
        <f>IF(B243="","",IFERROR(INDEX(art_poste,MATCH($B243,art_ref,0))&amp;"",""))</f>
        <v/>
      </c>
      <c r="J243" s="59" t="str">
        <f>IF(OR(B243="",G243="Annulé",N(D243)&lt;=0),"",IFERROR(ROUND(INDEX(art_setup,MATCH($B243,art_ref,0))+D243*INDEX(art_cycle,MATCH($B243,art_ref,0))/60,2),""))</f>
        <v/>
      </c>
      <c r="K243" s="60" t="str">
        <f>IF(J243="","",IFERROR(MAX(1,ROUNDUP(J243/INDEX(po_cap,MATCH(I243,po_code,0)),0)),""))</f>
        <v/>
      </c>
      <c r="L243" s="61">
        <f>IF(K243="",0,IF(N(H243)&gt;0,H243,WORKDAY.INTL(MAX(p_start-1,SUMPRODUCT(MAX(($I$6:$I242=$I243)*$M$6:$M242))),1,p_weekend,p_holidays)))</f>
        <v>0.0</v>
      </c>
      <c r="M243" s="61">
        <f>IF(K243="",0,WORKDAY.INTL(L243,K243-1,p_weekend,p_holidays))</f>
        <v>0.0</v>
      </c>
      <c r="N243" s="62" t="str">
        <f>IF(OR(M243=0,N(F243)=0,G243="Terminé"),"",F243-M243)</f>
        <v/>
      </c>
      <c r="O243" s="58" t="str">
        <f>IF(B243="","",IF(G243="Annulé","Annulé",IF(G243="Terminé","Terminé",IF(M243=0,"À compléter",IF(N(F243)=0,"Sans échéance",IF(M243&gt;F243,"En retard",IF(F243-M243&lt;=p_margin,"Juste","À l'heure")))))))</f>
        <v/>
      </c>
      <c r="P243" s="55" t="n"/>
      <c r="Q243" s="63" t="str">
        <f>IF(OR(B243="",N(D243)&lt;=0),"",MIN(1,N(P243)/D243))</f>
        <v/>
      </c>
      <c r="R243" s="64" t="str">
        <f>IF(OR(J243="",ISNA(MATCH(I243,po_code,0))),"",ROUND(J243*N(INDEX(po_rate,MATCH(I243,po_code,0))),2))</f>
        <v/>
      </c>
      <c r="S243" s="58" t="str">
        <f>IF(AND(A243="",B243=""),"",IF(B243="","Référence manquante",IF(ISNA(MATCH($B243,art_ref,0)),"Référence inconnue",IF(N(D243)&lt;=0,"Quantité invalide",IF(AND(A243&lt;&gt;"",COUNTIF(of_num,A243)&gt;1),"N° OF en double",IF(G243="Annulé","OK",IF(I243="","Poste manquant (gamme)",IF(ISNA(MATCH(I243,po_code,0)),"Poste inconnu",IF(K243="","Capacité du poste nulle",IF(AND(H243&lt;&gt;"",N(H243)=0),"Début imposé invalide",IF(AND(N(H243)&gt;0,WORKDAY.INTL(H243-1,1,p_weekend,p_holidays)&lt;&gt;H243),"Début un jour chômé",IF(AND(N(H243)&gt;0,H243&lt;=SUMPRODUCT(MAX(($I$6:$I242=$I243)*$M$6:$M242))),"Chevauche l'OF précédent",IF(N(F243)=0,"Date de besoin manquante","OK")))))))))))))</f>
        <v/>
      </c>
      <c r="T243" s="65" t="str">
        <f>IF(K243="","",J243/K243)</f>
        <v/>
      </c>
      <c r="U243" s="66" t="str">
        <f>IF(OR(O243="En retard",O243="Juste"),COUNTIF($O$6:O243,"En retard")+COUNTIF($O$6:O243,"Juste"),"")</f>
        <v/>
      </c>
    </row>
    <row r="244">
      <c r="A244" s="53" t="n"/>
      <c r="B244" s="53" t="n"/>
      <c r="C244" s="54" t="str">
        <f>IF(B244="","",IFERROR(INDEX(art_des,MATCH($B244,art_ref,0)),"Référence inconnue"))</f>
        <v/>
      </c>
      <c r="D244" s="55" t="n"/>
      <c r="E244" s="53" t="n"/>
      <c r="F244" s="56" t="n"/>
      <c r="G244" s="57" t="n"/>
      <c r="H244" s="56" t="n"/>
      <c r="I244" s="58" t="str">
        <f>IF(B244="","",IFERROR(INDEX(art_poste,MATCH($B244,art_ref,0))&amp;"",""))</f>
        <v/>
      </c>
      <c r="J244" s="59" t="str">
        <f>IF(OR(B244="",G244="Annulé",N(D244)&lt;=0),"",IFERROR(ROUND(INDEX(art_setup,MATCH($B244,art_ref,0))+D244*INDEX(art_cycle,MATCH($B244,art_ref,0))/60,2),""))</f>
        <v/>
      </c>
      <c r="K244" s="60" t="str">
        <f>IF(J244="","",IFERROR(MAX(1,ROUNDUP(J244/INDEX(po_cap,MATCH(I244,po_code,0)),0)),""))</f>
        <v/>
      </c>
      <c r="L244" s="61">
        <f>IF(K244="",0,IF(N(H244)&gt;0,H244,WORKDAY.INTL(MAX(p_start-1,SUMPRODUCT(MAX(($I$6:$I243=$I244)*$M$6:$M243))),1,p_weekend,p_holidays)))</f>
        <v>0.0</v>
      </c>
      <c r="M244" s="61">
        <f>IF(K244="",0,WORKDAY.INTL(L244,K244-1,p_weekend,p_holidays))</f>
        <v>0.0</v>
      </c>
      <c r="N244" s="62" t="str">
        <f>IF(OR(M244=0,N(F244)=0,G244="Terminé"),"",F244-M244)</f>
        <v/>
      </c>
      <c r="O244" s="58" t="str">
        <f>IF(B244="","",IF(G244="Annulé","Annulé",IF(G244="Terminé","Terminé",IF(M244=0,"À compléter",IF(N(F244)=0,"Sans échéance",IF(M244&gt;F244,"En retard",IF(F244-M244&lt;=p_margin,"Juste","À l'heure")))))))</f>
        <v/>
      </c>
      <c r="P244" s="55" t="n"/>
      <c r="Q244" s="63" t="str">
        <f>IF(OR(B244="",N(D244)&lt;=0),"",MIN(1,N(P244)/D244))</f>
        <v/>
      </c>
      <c r="R244" s="64" t="str">
        <f>IF(OR(J244="",ISNA(MATCH(I244,po_code,0))),"",ROUND(J244*N(INDEX(po_rate,MATCH(I244,po_code,0))),2))</f>
        <v/>
      </c>
      <c r="S244" s="58" t="str">
        <f>IF(AND(A244="",B244=""),"",IF(B244="","Référence manquante",IF(ISNA(MATCH($B244,art_ref,0)),"Référence inconnue",IF(N(D244)&lt;=0,"Quantité invalide",IF(AND(A244&lt;&gt;"",COUNTIF(of_num,A244)&gt;1),"N° OF en double",IF(G244="Annulé","OK",IF(I244="","Poste manquant (gamme)",IF(ISNA(MATCH(I244,po_code,0)),"Poste inconnu",IF(K244="","Capacité du poste nulle",IF(AND(H244&lt;&gt;"",N(H244)=0),"Début imposé invalide",IF(AND(N(H244)&gt;0,WORKDAY.INTL(H244-1,1,p_weekend,p_holidays)&lt;&gt;H244),"Début un jour chômé",IF(AND(N(H244)&gt;0,H244&lt;=SUMPRODUCT(MAX(($I$6:$I243=$I244)*$M$6:$M243))),"Chevauche l'OF précédent",IF(N(F244)=0,"Date de besoin manquante","OK")))))))))))))</f>
        <v/>
      </c>
      <c r="T244" s="65" t="str">
        <f>IF(K244="","",J244/K244)</f>
        <v/>
      </c>
      <c r="U244" s="66" t="str">
        <f>IF(OR(O244="En retard",O244="Juste"),COUNTIF($O$6:O244,"En retard")+COUNTIF($O$6:O244,"Juste"),"")</f>
        <v/>
      </c>
    </row>
    <row r="245">
      <c r="A245" s="53" t="n"/>
      <c r="B245" s="53" t="n"/>
      <c r="C245" s="54" t="str">
        <f>IF(B245="","",IFERROR(INDEX(art_des,MATCH($B245,art_ref,0)),"Référence inconnue"))</f>
        <v/>
      </c>
      <c r="D245" s="55" t="n"/>
      <c r="E245" s="53" t="n"/>
      <c r="F245" s="56" t="n"/>
      <c r="G245" s="57" t="n"/>
      <c r="H245" s="56" t="n"/>
      <c r="I245" s="58" t="str">
        <f>IF(B245="","",IFERROR(INDEX(art_poste,MATCH($B245,art_ref,0))&amp;"",""))</f>
        <v/>
      </c>
      <c r="J245" s="59" t="str">
        <f>IF(OR(B245="",G245="Annulé",N(D245)&lt;=0),"",IFERROR(ROUND(INDEX(art_setup,MATCH($B245,art_ref,0))+D245*INDEX(art_cycle,MATCH($B245,art_ref,0))/60,2),""))</f>
        <v/>
      </c>
      <c r="K245" s="60" t="str">
        <f>IF(J245="","",IFERROR(MAX(1,ROUNDUP(J245/INDEX(po_cap,MATCH(I245,po_code,0)),0)),""))</f>
        <v/>
      </c>
      <c r="L245" s="61">
        <f>IF(K245="",0,IF(N(H245)&gt;0,H245,WORKDAY.INTL(MAX(p_start-1,SUMPRODUCT(MAX(($I$6:$I244=$I245)*$M$6:$M244))),1,p_weekend,p_holidays)))</f>
        <v>0.0</v>
      </c>
      <c r="M245" s="61">
        <f>IF(K245="",0,WORKDAY.INTL(L245,K245-1,p_weekend,p_holidays))</f>
        <v>0.0</v>
      </c>
      <c r="N245" s="62" t="str">
        <f>IF(OR(M245=0,N(F245)=0,G245="Terminé"),"",F245-M245)</f>
        <v/>
      </c>
      <c r="O245" s="58" t="str">
        <f>IF(B245="","",IF(G245="Annulé","Annulé",IF(G245="Terminé","Terminé",IF(M245=0,"À compléter",IF(N(F245)=0,"Sans échéance",IF(M245&gt;F245,"En retard",IF(F245-M245&lt;=p_margin,"Juste","À l'heure")))))))</f>
        <v/>
      </c>
      <c r="P245" s="55" t="n"/>
      <c r="Q245" s="63" t="str">
        <f>IF(OR(B245="",N(D245)&lt;=0),"",MIN(1,N(P245)/D245))</f>
        <v/>
      </c>
      <c r="R245" s="64" t="str">
        <f>IF(OR(J245="",ISNA(MATCH(I245,po_code,0))),"",ROUND(J245*N(INDEX(po_rate,MATCH(I245,po_code,0))),2))</f>
        <v/>
      </c>
      <c r="S245" s="58" t="str">
        <f>IF(AND(A245="",B245=""),"",IF(B245="","Référence manquante",IF(ISNA(MATCH($B245,art_ref,0)),"Référence inconnue",IF(N(D245)&lt;=0,"Quantité invalide",IF(AND(A245&lt;&gt;"",COUNTIF(of_num,A245)&gt;1),"N° OF en double",IF(G245="Annulé","OK",IF(I245="","Poste manquant (gamme)",IF(ISNA(MATCH(I245,po_code,0)),"Poste inconnu",IF(K245="","Capacité du poste nulle",IF(AND(H245&lt;&gt;"",N(H245)=0),"Début imposé invalide",IF(AND(N(H245)&gt;0,WORKDAY.INTL(H245-1,1,p_weekend,p_holidays)&lt;&gt;H245),"Début un jour chômé",IF(AND(N(H245)&gt;0,H245&lt;=SUMPRODUCT(MAX(($I$6:$I244=$I245)*$M$6:$M244))),"Chevauche l'OF précédent",IF(N(F245)=0,"Date de besoin manquante","OK")))))))))))))</f>
        <v/>
      </c>
      <c r="T245" s="65" t="str">
        <f>IF(K245="","",J245/K245)</f>
        <v/>
      </c>
      <c r="U245" s="66" t="str">
        <f>IF(OR(O245="En retard",O245="Juste"),COUNTIF($O$6:O245,"En retard")+COUNTIF($O$6:O245,"Juste"),"")</f>
        <v/>
      </c>
    </row>
    <row r="246">
      <c r="A246" s="53" t="n"/>
      <c r="B246" s="53" t="n"/>
      <c r="C246" s="54" t="str">
        <f>IF(B246="","",IFERROR(INDEX(art_des,MATCH($B246,art_ref,0)),"Référence inconnue"))</f>
        <v/>
      </c>
      <c r="D246" s="55" t="n"/>
      <c r="E246" s="53" t="n"/>
      <c r="F246" s="56" t="n"/>
      <c r="G246" s="57" t="n"/>
      <c r="H246" s="56" t="n"/>
      <c r="I246" s="58" t="str">
        <f>IF(B246="","",IFERROR(INDEX(art_poste,MATCH($B246,art_ref,0))&amp;"",""))</f>
        <v/>
      </c>
      <c r="J246" s="59" t="str">
        <f>IF(OR(B246="",G246="Annulé",N(D246)&lt;=0),"",IFERROR(ROUND(INDEX(art_setup,MATCH($B246,art_ref,0))+D246*INDEX(art_cycle,MATCH($B246,art_ref,0))/60,2),""))</f>
        <v/>
      </c>
      <c r="K246" s="60" t="str">
        <f>IF(J246="","",IFERROR(MAX(1,ROUNDUP(J246/INDEX(po_cap,MATCH(I246,po_code,0)),0)),""))</f>
        <v/>
      </c>
      <c r="L246" s="61">
        <f>IF(K246="",0,IF(N(H246)&gt;0,H246,WORKDAY.INTL(MAX(p_start-1,SUMPRODUCT(MAX(($I$6:$I245=$I246)*$M$6:$M245))),1,p_weekend,p_holidays)))</f>
        <v>0.0</v>
      </c>
      <c r="M246" s="61">
        <f>IF(K246="",0,WORKDAY.INTL(L246,K246-1,p_weekend,p_holidays))</f>
        <v>0.0</v>
      </c>
      <c r="N246" s="62" t="str">
        <f>IF(OR(M246=0,N(F246)=0,G246="Terminé"),"",F246-M246)</f>
        <v/>
      </c>
      <c r="O246" s="58" t="str">
        <f>IF(B246="","",IF(G246="Annulé","Annulé",IF(G246="Terminé","Terminé",IF(M246=0,"À compléter",IF(N(F246)=0,"Sans échéance",IF(M246&gt;F246,"En retard",IF(F246-M246&lt;=p_margin,"Juste","À l'heure")))))))</f>
        <v/>
      </c>
      <c r="P246" s="55" t="n"/>
      <c r="Q246" s="63" t="str">
        <f>IF(OR(B246="",N(D246)&lt;=0),"",MIN(1,N(P246)/D246))</f>
        <v/>
      </c>
      <c r="R246" s="64" t="str">
        <f>IF(OR(J246="",ISNA(MATCH(I246,po_code,0))),"",ROUND(J246*N(INDEX(po_rate,MATCH(I246,po_code,0))),2))</f>
        <v/>
      </c>
      <c r="S246" s="58" t="str">
        <f>IF(AND(A246="",B246=""),"",IF(B246="","Référence manquante",IF(ISNA(MATCH($B246,art_ref,0)),"Référence inconnue",IF(N(D246)&lt;=0,"Quantité invalide",IF(AND(A246&lt;&gt;"",COUNTIF(of_num,A246)&gt;1),"N° OF en double",IF(G246="Annulé","OK",IF(I246="","Poste manquant (gamme)",IF(ISNA(MATCH(I246,po_code,0)),"Poste inconnu",IF(K246="","Capacité du poste nulle",IF(AND(H246&lt;&gt;"",N(H246)=0),"Début imposé invalide",IF(AND(N(H246)&gt;0,WORKDAY.INTL(H246-1,1,p_weekend,p_holidays)&lt;&gt;H246),"Début un jour chômé",IF(AND(N(H246)&gt;0,H246&lt;=SUMPRODUCT(MAX(($I$6:$I245=$I246)*$M$6:$M245))),"Chevauche l'OF précédent",IF(N(F246)=0,"Date de besoin manquante","OK")))))))))))))</f>
        <v/>
      </c>
      <c r="T246" s="65" t="str">
        <f>IF(K246="","",J246/K246)</f>
        <v/>
      </c>
      <c r="U246" s="66" t="str">
        <f>IF(OR(O246="En retard",O246="Juste"),COUNTIF($O$6:O246,"En retard")+COUNTIF($O$6:O246,"Juste"),"")</f>
        <v/>
      </c>
    </row>
    <row r="247">
      <c r="A247" s="53" t="n"/>
      <c r="B247" s="53" t="n"/>
      <c r="C247" s="54" t="str">
        <f>IF(B247="","",IFERROR(INDEX(art_des,MATCH($B247,art_ref,0)),"Référence inconnue"))</f>
        <v/>
      </c>
      <c r="D247" s="55" t="n"/>
      <c r="E247" s="53" t="n"/>
      <c r="F247" s="56" t="n"/>
      <c r="G247" s="57" t="n"/>
      <c r="H247" s="56" t="n"/>
      <c r="I247" s="58" t="str">
        <f>IF(B247="","",IFERROR(INDEX(art_poste,MATCH($B247,art_ref,0))&amp;"",""))</f>
        <v/>
      </c>
      <c r="J247" s="59" t="str">
        <f>IF(OR(B247="",G247="Annulé",N(D247)&lt;=0),"",IFERROR(ROUND(INDEX(art_setup,MATCH($B247,art_ref,0))+D247*INDEX(art_cycle,MATCH($B247,art_ref,0))/60,2),""))</f>
        <v/>
      </c>
      <c r="K247" s="60" t="str">
        <f>IF(J247="","",IFERROR(MAX(1,ROUNDUP(J247/INDEX(po_cap,MATCH(I247,po_code,0)),0)),""))</f>
        <v/>
      </c>
      <c r="L247" s="61">
        <f>IF(K247="",0,IF(N(H247)&gt;0,H247,WORKDAY.INTL(MAX(p_start-1,SUMPRODUCT(MAX(($I$6:$I246=$I247)*$M$6:$M246))),1,p_weekend,p_holidays)))</f>
        <v>0.0</v>
      </c>
      <c r="M247" s="61">
        <f>IF(K247="",0,WORKDAY.INTL(L247,K247-1,p_weekend,p_holidays))</f>
        <v>0.0</v>
      </c>
      <c r="N247" s="62" t="str">
        <f>IF(OR(M247=0,N(F247)=0,G247="Terminé"),"",F247-M247)</f>
        <v/>
      </c>
      <c r="O247" s="58" t="str">
        <f>IF(B247="","",IF(G247="Annulé","Annulé",IF(G247="Terminé","Terminé",IF(M247=0,"À compléter",IF(N(F247)=0,"Sans échéance",IF(M247&gt;F247,"En retard",IF(F247-M247&lt;=p_margin,"Juste","À l'heure")))))))</f>
        <v/>
      </c>
      <c r="P247" s="55" t="n"/>
      <c r="Q247" s="63" t="str">
        <f>IF(OR(B247="",N(D247)&lt;=0),"",MIN(1,N(P247)/D247))</f>
        <v/>
      </c>
      <c r="R247" s="64" t="str">
        <f>IF(OR(J247="",ISNA(MATCH(I247,po_code,0))),"",ROUND(J247*N(INDEX(po_rate,MATCH(I247,po_code,0))),2))</f>
        <v/>
      </c>
      <c r="S247" s="58" t="str">
        <f>IF(AND(A247="",B247=""),"",IF(B247="","Référence manquante",IF(ISNA(MATCH($B247,art_ref,0)),"Référence inconnue",IF(N(D247)&lt;=0,"Quantité invalide",IF(AND(A247&lt;&gt;"",COUNTIF(of_num,A247)&gt;1),"N° OF en double",IF(G247="Annulé","OK",IF(I247="","Poste manquant (gamme)",IF(ISNA(MATCH(I247,po_code,0)),"Poste inconnu",IF(K247="","Capacité du poste nulle",IF(AND(H247&lt;&gt;"",N(H247)=0),"Début imposé invalide",IF(AND(N(H247)&gt;0,WORKDAY.INTL(H247-1,1,p_weekend,p_holidays)&lt;&gt;H247),"Début un jour chômé",IF(AND(N(H247)&gt;0,H247&lt;=SUMPRODUCT(MAX(($I$6:$I246=$I247)*$M$6:$M246))),"Chevauche l'OF précédent",IF(N(F247)=0,"Date de besoin manquante","OK")))))))))))))</f>
        <v/>
      </c>
      <c r="T247" s="65" t="str">
        <f>IF(K247="","",J247/K247)</f>
        <v/>
      </c>
      <c r="U247" s="66" t="str">
        <f>IF(OR(O247="En retard",O247="Juste"),COUNTIF($O$6:O247,"En retard")+COUNTIF($O$6:O247,"Juste"),"")</f>
        <v/>
      </c>
    </row>
    <row r="248">
      <c r="A248" s="53" t="n"/>
      <c r="B248" s="53" t="n"/>
      <c r="C248" s="54" t="str">
        <f>IF(B248="","",IFERROR(INDEX(art_des,MATCH($B248,art_ref,0)),"Référence inconnue"))</f>
        <v/>
      </c>
      <c r="D248" s="55" t="n"/>
      <c r="E248" s="53" t="n"/>
      <c r="F248" s="56" t="n"/>
      <c r="G248" s="57" t="n"/>
      <c r="H248" s="56" t="n"/>
      <c r="I248" s="58" t="str">
        <f>IF(B248="","",IFERROR(INDEX(art_poste,MATCH($B248,art_ref,0))&amp;"",""))</f>
        <v/>
      </c>
      <c r="J248" s="59" t="str">
        <f>IF(OR(B248="",G248="Annulé",N(D248)&lt;=0),"",IFERROR(ROUND(INDEX(art_setup,MATCH($B248,art_ref,0))+D248*INDEX(art_cycle,MATCH($B248,art_ref,0))/60,2),""))</f>
        <v/>
      </c>
      <c r="K248" s="60" t="str">
        <f>IF(J248="","",IFERROR(MAX(1,ROUNDUP(J248/INDEX(po_cap,MATCH(I248,po_code,0)),0)),""))</f>
        <v/>
      </c>
      <c r="L248" s="61">
        <f>IF(K248="",0,IF(N(H248)&gt;0,H248,WORKDAY.INTL(MAX(p_start-1,SUMPRODUCT(MAX(($I$6:$I247=$I248)*$M$6:$M247))),1,p_weekend,p_holidays)))</f>
        <v>0.0</v>
      </c>
      <c r="M248" s="61">
        <f>IF(K248="",0,WORKDAY.INTL(L248,K248-1,p_weekend,p_holidays))</f>
        <v>0.0</v>
      </c>
      <c r="N248" s="62" t="str">
        <f>IF(OR(M248=0,N(F248)=0,G248="Terminé"),"",F248-M248)</f>
        <v/>
      </c>
      <c r="O248" s="58" t="str">
        <f>IF(B248="","",IF(G248="Annulé","Annulé",IF(G248="Terminé","Terminé",IF(M248=0,"À compléter",IF(N(F248)=0,"Sans échéance",IF(M248&gt;F248,"En retard",IF(F248-M248&lt;=p_margin,"Juste","À l'heure")))))))</f>
        <v/>
      </c>
      <c r="P248" s="55" t="n"/>
      <c r="Q248" s="63" t="str">
        <f>IF(OR(B248="",N(D248)&lt;=0),"",MIN(1,N(P248)/D248))</f>
        <v/>
      </c>
      <c r="R248" s="64" t="str">
        <f>IF(OR(J248="",ISNA(MATCH(I248,po_code,0))),"",ROUND(J248*N(INDEX(po_rate,MATCH(I248,po_code,0))),2))</f>
        <v/>
      </c>
      <c r="S248" s="58" t="str">
        <f>IF(AND(A248="",B248=""),"",IF(B248="","Référence manquante",IF(ISNA(MATCH($B248,art_ref,0)),"Référence inconnue",IF(N(D248)&lt;=0,"Quantité invalide",IF(AND(A248&lt;&gt;"",COUNTIF(of_num,A248)&gt;1),"N° OF en double",IF(G248="Annulé","OK",IF(I248="","Poste manquant (gamme)",IF(ISNA(MATCH(I248,po_code,0)),"Poste inconnu",IF(K248="","Capacité du poste nulle",IF(AND(H248&lt;&gt;"",N(H248)=0),"Début imposé invalide",IF(AND(N(H248)&gt;0,WORKDAY.INTL(H248-1,1,p_weekend,p_holidays)&lt;&gt;H248),"Début un jour chômé",IF(AND(N(H248)&gt;0,H248&lt;=SUMPRODUCT(MAX(($I$6:$I247=$I248)*$M$6:$M247))),"Chevauche l'OF précédent",IF(N(F248)=0,"Date de besoin manquante","OK")))))))))))))</f>
        <v/>
      </c>
      <c r="T248" s="65" t="str">
        <f>IF(K248="","",J248/K248)</f>
        <v/>
      </c>
      <c r="U248" s="66" t="str">
        <f>IF(OR(O248="En retard",O248="Juste"),COUNTIF($O$6:O248,"En retard")+COUNTIF($O$6:O248,"Juste"),"")</f>
        <v/>
      </c>
    </row>
    <row r="249">
      <c r="A249" s="53" t="n"/>
      <c r="B249" s="53" t="n"/>
      <c r="C249" s="54" t="str">
        <f>IF(B249="","",IFERROR(INDEX(art_des,MATCH($B249,art_ref,0)),"Référence inconnue"))</f>
        <v/>
      </c>
      <c r="D249" s="55" t="n"/>
      <c r="E249" s="53" t="n"/>
      <c r="F249" s="56" t="n"/>
      <c r="G249" s="57" t="n"/>
      <c r="H249" s="56" t="n"/>
      <c r="I249" s="58" t="str">
        <f>IF(B249="","",IFERROR(INDEX(art_poste,MATCH($B249,art_ref,0))&amp;"",""))</f>
        <v/>
      </c>
      <c r="J249" s="59" t="str">
        <f>IF(OR(B249="",G249="Annulé",N(D249)&lt;=0),"",IFERROR(ROUND(INDEX(art_setup,MATCH($B249,art_ref,0))+D249*INDEX(art_cycle,MATCH($B249,art_ref,0))/60,2),""))</f>
        <v/>
      </c>
      <c r="K249" s="60" t="str">
        <f>IF(J249="","",IFERROR(MAX(1,ROUNDUP(J249/INDEX(po_cap,MATCH(I249,po_code,0)),0)),""))</f>
        <v/>
      </c>
      <c r="L249" s="61">
        <f>IF(K249="",0,IF(N(H249)&gt;0,H249,WORKDAY.INTL(MAX(p_start-1,SUMPRODUCT(MAX(($I$6:$I248=$I249)*$M$6:$M248))),1,p_weekend,p_holidays)))</f>
        <v>0.0</v>
      </c>
      <c r="M249" s="61">
        <f>IF(K249="",0,WORKDAY.INTL(L249,K249-1,p_weekend,p_holidays))</f>
        <v>0.0</v>
      </c>
      <c r="N249" s="62" t="str">
        <f>IF(OR(M249=0,N(F249)=0,G249="Terminé"),"",F249-M249)</f>
        <v/>
      </c>
      <c r="O249" s="58" t="str">
        <f>IF(B249="","",IF(G249="Annulé","Annulé",IF(G249="Terminé","Terminé",IF(M249=0,"À compléter",IF(N(F249)=0,"Sans échéance",IF(M249&gt;F249,"En retard",IF(F249-M249&lt;=p_margin,"Juste","À l'heure")))))))</f>
        <v/>
      </c>
      <c r="P249" s="55" t="n"/>
      <c r="Q249" s="63" t="str">
        <f>IF(OR(B249="",N(D249)&lt;=0),"",MIN(1,N(P249)/D249))</f>
        <v/>
      </c>
      <c r="R249" s="64" t="str">
        <f>IF(OR(J249="",ISNA(MATCH(I249,po_code,0))),"",ROUND(J249*N(INDEX(po_rate,MATCH(I249,po_code,0))),2))</f>
        <v/>
      </c>
      <c r="S249" s="58" t="str">
        <f>IF(AND(A249="",B249=""),"",IF(B249="","Référence manquante",IF(ISNA(MATCH($B249,art_ref,0)),"Référence inconnue",IF(N(D249)&lt;=0,"Quantité invalide",IF(AND(A249&lt;&gt;"",COUNTIF(of_num,A249)&gt;1),"N° OF en double",IF(G249="Annulé","OK",IF(I249="","Poste manquant (gamme)",IF(ISNA(MATCH(I249,po_code,0)),"Poste inconnu",IF(K249="","Capacité du poste nulle",IF(AND(H249&lt;&gt;"",N(H249)=0),"Début imposé invalide",IF(AND(N(H249)&gt;0,WORKDAY.INTL(H249-1,1,p_weekend,p_holidays)&lt;&gt;H249),"Début un jour chômé",IF(AND(N(H249)&gt;0,H249&lt;=SUMPRODUCT(MAX(($I$6:$I248=$I249)*$M$6:$M248))),"Chevauche l'OF précédent",IF(N(F249)=0,"Date de besoin manquante","OK")))))))))))))</f>
        <v/>
      </c>
      <c r="T249" s="65" t="str">
        <f>IF(K249="","",J249/K249)</f>
        <v/>
      </c>
      <c r="U249" s="66" t="str">
        <f>IF(OR(O249="En retard",O249="Juste"),COUNTIF($O$6:O249,"En retard")+COUNTIF($O$6:O249,"Juste"),"")</f>
        <v/>
      </c>
    </row>
    <row r="250">
      <c r="A250" s="53" t="n"/>
      <c r="B250" s="53" t="n"/>
      <c r="C250" s="54" t="str">
        <f>IF(B250="","",IFERROR(INDEX(art_des,MATCH($B250,art_ref,0)),"Référence inconnue"))</f>
        <v/>
      </c>
      <c r="D250" s="55" t="n"/>
      <c r="E250" s="53" t="n"/>
      <c r="F250" s="56" t="n"/>
      <c r="G250" s="57" t="n"/>
      <c r="H250" s="56" t="n"/>
      <c r="I250" s="58" t="str">
        <f>IF(B250="","",IFERROR(INDEX(art_poste,MATCH($B250,art_ref,0))&amp;"",""))</f>
        <v/>
      </c>
      <c r="J250" s="59" t="str">
        <f>IF(OR(B250="",G250="Annulé",N(D250)&lt;=0),"",IFERROR(ROUND(INDEX(art_setup,MATCH($B250,art_ref,0))+D250*INDEX(art_cycle,MATCH($B250,art_ref,0))/60,2),""))</f>
        <v/>
      </c>
      <c r="K250" s="60" t="str">
        <f>IF(J250="","",IFERROR(MAX(1,ROUNDUP(J250/INDEX(po_cap,MATCH(I250,po_code,0)),0)),""))</f>
        <v/>
      </c>
      <c r="L250" s="61">
        <f>IF(K250="",0,IF(N(H250)&gt;0,H250,WORKDAY.INTL(MAX(p_start-1,SUMPRODUCT(MAX(($I$6:$I249=$I250)*$M$6:$M249))),1,p_weekend,p_holidays)))</f>
        <v>0.0</v>
      </c>
      <c r="M250" s="61">
        <f>IF(K250="",0,WORKDAY.INTL(L250,K250-1,p_weekend,p_holidays))</f>
        <v>0.0</v>
      </c>
      <c r="N250" s="62" t="str">
        <f>IF(OR(M250=0,N(F250)=0,G250="Terminé"),"",F250-M250)</f>
        <v/>
      </c>
      <c r="O250" s="58" t="str">
        <f>IF(B250="","",IF(G250="Annulé","Annulé",IF(G250="Terminé","Terminé",IF(M250=0,"À compléter",IF(N(F250)=0,"Sans échéance",IF(M250&gt;F250,"En retard",IF(F250-M250&lt;=p_margin,"Juste","À l'heure")))))))</f>
        <v/>
      </c>
      <c r="P250" s="55" t="n"/>
      <c r="Q250" s="63" t="str">
        <f>IF(OR(B250="",N(D250)&lt;=0),"",MIN(1,N(P250)/D250))</f>
        <v/>
      </c>
      <c r="R250" s="64" t="str">
        <f>IF(OR(J250="",ISNA(MATCH(I250,po_code,0))),"",ROUND(J250*N(INDEX(po_rate,MATCH(I250,po_code,0))),2))</f>
        <v/>
      </c>
      <c r="S250" s="58" t="str">
        <f>IF(AND(A250="",B250=""),"",IF(B250="","Référence manquante",IF(ISNA(MATCH($B250,art_ref,0)),"Référence inconnue",IF(N(D250)&lt;=0,"Quantité invalide",IF(AND(A250&lt;&gt;"",COUNTIF(of_num,A250)&gt;1),"N° OF en double",IF(G250="Annulé","OK",IF(I250="","Poste manquant (gamme)",IF(ISNA(MATCH(I250,po_code,0)),"Poste inconnu",IF(K250="","Capacité du poste nulle",IF(AND(H250&lt;&gt;"",N(H250)=0),"Début imposé invalide",IF(AND(N(H250)&gt;0,WORKDAY.INTL(H250-1,1,p_weekend,p_holidays)&lt;&gt;H250),"Début un jour chômé",IF(AND(N(H250)&gt;0,H250&lt;=SUMPRODUCT(MAX(($I$6:$I249=$I250)*$M$6:$M249))),"Chevauche l'OF précédent",IF(N(F250)=0,"Date de besoin manquante","OK")))))))))))))</f>
        <v/>
      </c>
      <c r="T250" s="65" t="str">
        <f>IF(K250="","",J250/K250)</f>
        <v/>
      </c>
      <c r="U250" s="66" t="str">
        <f>IF(OR(O250="En retard",O250="Juste"),COUNTIF($O$6:O250,"En retard")+COUNTIF($O$6:O250,"Juste"),"")</f>
        <v/>
      </c>
    </row>
    <row r="251">
      <c r="A251" s="53" t="n"/>
      <c r="B251" s="53" t="n"/>
      <c r="C251" s="54" t="str">
        <f>IF(B251="","",IFERROR(INDEX(art_des,MATCH($B251,art_ref,0)),"Référence inconnue"))</f>
        <v/>
      </c>
      <c r="D251" s="55" t="n"/>
      <c r="E251" s="53" t="n"/>
      <c r="F251" s="56" t="n"/>
      <c r="G251" s="57" t="n"/>
      <c r="H251" s="56" t="n"/>
      <c r="I251" s="58" t="str">
        <f>IF(B251="","",IFERROR(INDEX(art_poste,MATCH($B251,art_ref,0))&amp;"",""))</f>
        <v/>
      </c>
      <c r="J251" s="59" t="str">
        <f>IF(OR(B251="",G251="Annulé",N(D251)&lt;=0),"",IFERROR(ROUND(INDEX(art_setup,MATCH($B251,art_ref,0))+D251*INDEX(art_cycle,MATCH($B251,art_ref,0))/60,2),""))</f>
        <v/>
      </c>
      <c r="K251" s="60" t="str">
        <f>IF(J251="","",IFERROR(MAX(1,ROUNDUP(J251/INDEX(po_cap,MATCH(I251,po_code,0)),0)),""))</f>
        <v/>
      </c>
      <c r="L251" s="61">
        <f>IF(K251="",0,IF(N(H251)&gt;0,H251,WORKDAY.INTL(MAX(p_start-1,SUMPRODUCT(MAX(($I$6:$I250=$I251)*$M$6:$M250))),1,p_weekend,p_holidays)))</f>
        <v>0.0</v>
      </c>
      <c r="M251" s="61">
        <f>IF(K251="",0,WORKDAY.INTL(L251,K251-1,p_weekend,p_holidays))</f>
        <v>0.0</v>
      </c>
      <c r="N251" s="62" t="str">
        <f>IF(OR(M251=0,N(F251)=0,G251="Terminé"),"",F251-M251)</f>
        <v/>
      </c>
      <c r="O251" s="58" t="str">
        <f>IF(B251="","",IF(G251="Annulé","Annulé",IF(G251="Terminé","Terminé",IF(M251=0,"À compléter",IF(N(F251)=0,"Sans échéance",IF(M251&gt;F251,"En retard",IF(F251-M251&lt;=p_margin,"Juste","À l'heure")))))))</f>
        <v/>
      </c>
      <c r="P251" s="55" t="n"/>
      <c r="Q251" s="63" t="str">
        <f>IF(OR(B251="",N(D251)&lt;=0),"",MIN(1,N(P251)/D251))</f>
        <v/>
      </c>
      <c r="R251" s="64" t="str">
        <f>IF(OR(J251="",ISNA(MATCH(I251,po_code,0))),"",ROUND(J251*N(INDEX(po_rate,MATCH(I251,po_code,0))),2))</f>
        <v/>
      </c>
      <c r="S251" s="58" t="str">
        <f>IF(AND(A251="",B251=""),"",IF(B251="","Référence manquante",IF(ISNA(MATCH($B251,art_ref,0)),"Référence inconnue",IF(N(D251)&lt;=0,"Quantité invalide",IF(AND(A251&lt;&gt;"",COUNTIF(of_num,A251)&gt;1),"N° OF en double",IF(G251="Annulé","OK",IF(I251="","Poste manquant (gamme)",IF(ISNA(MATCH(I251,po_code,0)),"Poste inconnu",IF(K251="","Capacité du poste nulle",IF(AND(H251&lt;&gt;"",N(H251)=0),"Début imposé invalide",IF(AND(N(H251)&gt;0,WORKDAY.INTL(H251-1,1,p_weekend,p_holidays)&lt;&gt;H251),"Début un jour chômé",IF(AND(N(H251)&gt;0,H251&lt;=SUMPRODUCT(MAX(($I$6:$I250=$I251)*$M$6:$M250))),"Chevauche l'OF précédent",IF(N(F251)=0,"Date de besoin manquante","OK")))))))))))))</f>
        <v/>
      </c>
      <c r="T251" s="65" t="str">
        <f>IF(K251="","",J251/K251)</f>
        <v/>
      </c>
      <c r="U251" s="66" t="str">
        <f>IF(OR(O251="En retard",O251="Juste"),COUNTIF($O$6:O251,"En retard")+COUNTIF($O$6:O251,"Juste"),"")</f>
        <v/>
      </c>
    </row>
    <row r="252">
      <c r="A252" s="53" t="n"/>
      <c r="B252" s="53" t="n"/>
      <c r="C252" s="54" t="str">
        <f>IF(B252="","",IFERROR(INDEX(art_des,MATCH($B252,art_ref,0)),"Référence inconnue"))</f>
        <v/>
      </c>
      <c r="D252" s="55" t="n"/>
      <c r="E252" s="53" t="n"/>
      <c r="F252" s="56" t="n"/>
      <c r="G252" s="57" t="n"/>
      <c r="H252" s="56" t="n"/>
      <c r="I252" s="58" t="str">
        <f>IF(B252="","",IFERROR(INDEX(art_poste,MATCH($B252,art_ref,0))&amp;"",""))</f>
        <v/>
      </c>
      <c r="J252" s="59" t="str">
        <f>IF(OR(B252="",G252="Annulé",N(D252)&lt;=0),"",IFERROR(ROUND(INDEX(art_setup,MATCH($B252,art_ref,0))+D252*INDEX(art_cycle,MATCH($B252,art_ref,0))/60,2),""))</f>
        <v/>
      </c>
      <c r="K252" s="60" t="str">
        <f>IF(J252="","",IFERROR(MAX(1,ROUNDUP(J252/INDEX(po_cap,MATCH(I252,po_code,0)),0)),""))</f>
        <v/>
      </c>
      <c r="L252" s="61">
        <f>IF(K252="",0,IF(N(H252)&gt;0,H252,WORKDAY.INTL(MAX(p_start-1,SUMPRODUCT(MAX(($I$6:$I251=$I252)*$M$6:$M251))),1,p_weekend,p_holidays)))</f>
        <v>0.0</v>
      </c>
      <c r="M252" s="61">
        <f>IF(K252="",0,WORKDAY.INTL(L252,K252-1,p_weekend,p_holidays))</f>
        <v>0.0</v>
      </c>
      <c r="N252" s="62" t="str">
        <f>IF(OR(M252=0,N(F252)=0,G252="Terminé"),"",F252-M252)</f>
        <v/>
      </c>
      <c r="O252" s="58" t="str">
        <f>IF(B252="","",IF(G252="Annulé","Annulé",IF(G252="Terminé","Terminé",IF(M252=0,"À compléter",IF(N(F252)=0,"Sans échéance",IF(M252&gt;F252,"En retard",IF(F252-M252&lt;=p_margin,"Juste","À l'heure")))))))</f>
        <v/>
      </c>
      <c r="P252" s="55" t="n"/>
      <c r="Q252" s="63" t="str">
        <f>IF(OR(B252="",N(D252)&lt;=0),"",MIN(1,N(P252)/D252))</f>
        <v/>
      </c>
      <c r="R252" s="64" t="str">
        <f>IF(OR(J252="",ISNA(MATCH(I252,po_code,0))),"",ROUND(J252*N(INDEX(po_rate,MATCH(I252,po_code,0))),2))</f>
        <v/>
      </c>
      <c r="S252" s="58" t="str">
        <f>IF(AND(A252="",B252=""),"",IF(B252="","Référence manquante",IF(ISNA(MATCH($B252,art_ref,0)),"Référence inconnue",IF(N(D252)&lt;=0,"Quantité invalide",IF(AND(A252&lt;&gt;"",COUNTIF(of_num,A252)&gt;1),"N° OF en double",IF(G252="Annulé","OK",IF(I252="","Poste manquant (gamme)",IF(ISNA(MATCH(I252,po_code,0)),"Poste inconnu",IF(K252="","Capacité du poste nulle",IF(AND(H252&lt;&gt;"",N(H252)=0),"Début imposé invalide",IF(AND(N(H252)&gt;0,WORKDAY.INTL(H252-1,1,p_weekend,p_holidays)&lt;&gt;H252),"Début un jour chômé",IF(AND(N(H252)&gt;0,H252&lt;=SUMPRODUCT(MAX(($I$6:$I251=$I252)*$M$6:$M251))),"Chevauche l'OF précédent",IF(N(F252)=0,"Date de besoin manquante","OK")))))))))))))</f>
        <v/>
      </c>
      <c r="T252" s="65" t="str">
        <f>IF(K252="","",J252/K252)</f>
        <v/>
      </c>
      <c r="U252" s="66" t="str">
        <f>IF(OR(O252="En retard",O252="Juste"),COUNTIF($O$6:O252,"En retard")+COUNTIF($O$6:O252,"Juste"),"")</f>
        <v/>
      </c>
    </row>
    <row r="253">
      <c r="A253" s="53" t="n"/>
      <c r="B253" s="53" t="n"/>
      <c r="C253" s="54" t="str">
        <f>IF(B253="","",IFERROR(INDEX(art_des,MATCH($B253,art_ref,0)),"Référence inconnue"))</f>
        <v/>
      </c>
      <c r="D253" s="55" t="n"/>
      <c r="E253" s="53" t="n"/>
      <c r="F253" s="56" t="n"/>
      <c r="G253" s="57" t="n"/>
      <c r="H253" s="56" t="n"/>
      <c r="I253" s="58" t="str">
        <f>IF(B253="","",IFERROR(INDEX(art_poste,MATCH($B253,art_ref,0))&amp;"",""))</f>
        <v/>
      </c>
      <c r="J253" s="59" t="str">
        <f>IF(OR(B253="",G253="Annulé",N(D253)&lt;=0),"",IFERROR(ROUND(INDEX(art_setup,MATCH($B253,art_ref,0))+D253*INDEX(art_cycle,MATCH($B253,art_ref,0))/60,2),""))</f>
        <v/>
      </c>
      <c r="K253" s="60" t="str">
        <f>IF(J253="","",IFERROR(MAX(1,ROUNDUP(J253/INDEX(po_cap,MATCH(I253,po_code,0)),0)),""))</f>
        <v/>
      </c>
      <c r="L253" s="61">
        <f>IF(K253="",0,IF(N(H253)&gt;0,H253,WORKDAY.INTL(MAX(p_start-1,SUMPRODUCT(MAX(($I$6:$I252=$I253)*$M$6:$M252))),1,p_weekend,p_holidays)))</f>
        <v>0.0</v>
      </c>
      <c r="M253" s="61">
        <f>IF(K253="",0,WORKDAY.INTL(L253,K253-1,p_weekend,p_holidays))</f>
        <v>0.0</v>
      </c>
      <c r="N253" s="62" t="str">
        <f>IF(OR(M253=0,N(F253)=0,G253="Terminé"),"",F253-M253)</f>
        <v/>
      </c>
      <c r="O253" s="58" t="str">
        <f>IF(B253="","",IF(G253="Annulé","Annulé",IF(G253="Terminé","Terminé",IF(M253=0,"À compléter",IF(N(F253)=0,"Sans échéance",IF(M253&gt;F253,"En retard",IF(F253-M253&lt;=p_margin,"Juste","À l'heure")))))))</f>
        <v/>
      </c>
      <c r="P253" s="55" t="n"/>
      <c r="Q253" s="63" t="str">
        <f>IF(OR(B253="",N(D253)&lt;=0),"",MIN(1,N(P253)/D253))</f>
        <v/>
      </c>
      <c r="R253" s="64" t="str">
        <f>IF(OR(J253="",ISNA(MATCH(I253,po_code,0))),"",ROUND(J253*N(INDEX(po_rate,MATCH(I253,po_code,0))),2))</f>
        <v/>
      </c>
      <c r="S253" s="58" t="str">
        <f>IF(AND(A253="",B253=""),"",IF(B253="","Référence manquante",IF(ISNA(MATCH($B253,art_ref,0)),"Référence inconnue",IF(N(D253)&lt;=0,"Quantité invalide",IF(AND(A253&lt;&gt;"",COUNTIF(of_num,A253)&gt;1),"N° OF en double",IF(G253="Annulé","OK",IF(I253="","Poste manquant (gamme)",IF(ISNA(MATCH(I253,po_code,0)),"Poste inconnu",IF(K253="","Capacité du poste nulle",IF(AND(H253&lt;&gt;"",N(H253)=0),"Début imposé invalide",IF(AND(N(H253)&gt;0,WORKDAY.INTL(H253-1,1,p_weekend,p_holidays)&lt;&gt;H253),"Début un jour chômé",IF(AND(N(H253)&gt;0,H253&lt;=SUMPRODUCT(MAX(($I$6:$I252=$I253)*$M$6:$M252))),"Chevauche l'OF précédent",IF(N(F253)=0,"Date de besoin manquante","OK")))))))))))))</f>
        <v/>
      </c>
      <c r="T253" s="65" t="str">
        <f>IF(K253="","",J253/K253)</f>
        <v/>
      </c>
      <c r="U253" s="66" t="str">
        <f>IF(OR(O253="En retard",O253="Juste"),COUNTIF($O$6:O253,"En retard")+COUNTIF($O$6:O253,"Juste"),"")</f>
        <v/>
      </c>
    </row>
    <row r="254">
      <c r="A254" s="53" t="n"/>
      <c r="B254" s="53" t="n"/>
      <c r="C254" s="54" t="str">
        <f>IF(B254="","",IFERROR(INDEX(art_des,MATCH($B254,art_ref,0)),"Référence inconnue"))</f>
        <v/>
      </c>
      <c r="D254" s="55" t="n"/>
      <c r="E254" s="53" t="n"/>
      <c r="F254" s="56" t="n"/>
      <c r="G254" s="57" t="n"/>
      <c r="H254" s="56" t="n"/>
      <c r="I254" s="58" t="str">
        <f>IF(B254="","",IFERROR(INDEX(art_poste,MATCH($B254,art_ref,0))&amp;"",""))</f>
        <v/>
      </c>
      <c r="J254" s="59" t="str">
        <f>IF(OR(B254="",G254="Annulé",N(D254)&lt;=0),"",IFERROR(ROUND(INDEX(art_setup,MATCH($B254,art_ref,0))+D254*INDEX(art_cycle,MATCH($B254,art_ref,0))/60,2),""))</f>
        <v/>
      </c>
      <c r="K254" s="60" t="str">
        <f>IF(J254="","",IFERROR(MAX(1,ROUNDUP(J254/INDEX(po_cap,MATCH(I254,po_code,0)),0)),""))</f>
        <v/>
      </c>
      <c r="L254" s="61">
        <f>IF(K254="",0,IF(N(H254)&gt;0,H254,WORKDAY.INTL(MAX(p_start-1,SUMPRODUCT(MAX(($I$6:$I253=$I254)*$M$6:$M253))),1,p_weekend,p_holidays)))</f>
        <v>0.0</v>
      </c>
      <c r="M254" s="61">
        <f>IF(K254="",0,WORKDAY.INTL(L254,K254-1,p_weekend,p_holidays))</f>
        <v>0.0</v>
      </c>
      <c r="N254" s="62" t="str">
        <f>IF(OR(M254=0,N(F254)=0,G254="Terminé"),"",F254-M254)</f>
        <v/>
      </c>
      <c r="O254" s="58" t="str">
        <f>IF(B254="","",IF(G254="Annulé","Annulé",IF(G254="Terminé","Terminé",IF(M254=0,"À compléter",IF(N(F254)=0,"Sans échéance",IF(M254&gt;F254,"En retard",IF(F254-M254&lt;=p_margin,"Juste","À l'heure")))))))</f>
        <v/>
      </c>
      <c r="P254" s="55" t="n"/>
      <c r="Q254" s="63" t="str">
        <f>IF(OR(B254="",N(D254)&lt;=0),"",MIN(1,N(P254)/D254))</f>
        <v/>
      </c>
      <c r="R254" s="64" t="str">
        <f>IF(OR(J254="",ISNA(MATCH(I254,po_code,0))),"",ROUND(J254*N(INDEX(po_rate,MATCH(I254,po_code,0))),2))</f>
        <v/>
      </c>
      <c r="S254" s="58" t="str">
        <f>IF(AND(A254="",B254=""),"",IF(B254="","Référence manquante",IF(ISNA(MATCH($B254,art_ref,0)),"Référence inconnue",IF(N(D254)&lt;=0,"Quantité invalide",IF(AND(A254&lt;&gt;"",COUNTIF(of_num,A254)&gt;1),"N° OF en double",IF(G254="Annulé","OK",IF(I254="","Poste manquant (gamme)",IF(ISNA(MATCH(I254,po_code,0)),"Poste inconnu",IF(K254="","Capacité du poste nulle",IF(AND(H254&lt;&gt;"",N(H254)=0),"Début imposé invalide",IF(AND(N(H254)&gt;0,WORKDAY.INTL(H254-1,1,p_weekend,p_holidays)&lt;&gt;H254),"Début un jour chômé",IF(AND(N(H254)&gt;0,H254&lt;=SUMPRODUCT(MAX(($I$6:$I253=$I254)*$M$6:$M253))),"Chevauche l'OF précédent",IF(N(F254)=0,"Date de besoin manquante","OK")))))))))))))</f>
        <v/>
      </c>
      <c r="T254" s="65" t="str">
        <f>IF(K254="","",J254/K254)</f>
        <v/>
      </c>
      <c r="U254" s="66" t="str">
        <f>IF(OR(O254="En retard",O254="Juste"),COUNTIF($O$6:O254,"En retard")+COUNTIF($O$6:O254,"Juste"),"")</f>
        <v/>
      </c>
    </row>
    <row r="255">
      <c r="A255" s="53" t="n"/>
      <c r="B255" s="53" t="n"/>
      <c r="C255" s="54" t="str">
        <f>IF(B255="","",IFERROR(INDEX(art_des,MATCH($B255,art_ref,0)),"Référence inconnue"))</f>
        <v/>
      </c>
      <c r="D255" s="55" t="n"/>
      <c r="E255" s="53" t="n"/>
      <c r="F255" s="56" t="n"/>
      <c r="G255" s="57" t="n"/>
      <c r="H255" s="56" t="n"/>
      <c r="I255" s="58" t="str">
        <f>IF(B255="","",IFERROR(INDEX(art_poste,MATCH($B255,art_ref,0))&amp;"",""))</f>
        <v/>
      </c>
      <c r="J255" s="59" t="str">
        <f>IF(OR(B255="",G255="Annulé",N(D255)&lt;=0),"",IFERROR(ROUND(INDEX(art_setup,MATCH($B255,art_ref,0))+D255*INDEX(art_cycle,MATCH($B255,art_ref,0))/60,2),""))</f>
        <v/>
      </c>
      <c r="K255" s="60" t="str">
        <f>IF(J255="","",IFERROR(MAX(1,ROUNDUP(J255/INDEX(po_cap,MATCH(I255,po_code,0)),0)),""))</f>
        <v/>
      </c>
      <c r="L255" s="61">
        <f>IF(K255="",0,IF(N(H255)&gt;0,H255,WORKDAY.INTL(MAX(p_start-1,SUMPRODUCT(MAX(($I$6:$I254=$I255)*$M$6:$M254))),1,p_weekend,p_holidays)))</f>
        <v>0.0</v>
      </c>
      <c r="M255" s="61">
        <f>IF(K255="",0,WORKDAY.INTL(L255,K255-1,p_weekend,p_holidays))</f>
        <v>0.0</v>
      </c>
      <c r="N255" s="62" t="str">
        <f>IF(OR(M255=0,N(F255)=0,G255="Terminé"),"",F255-M255)</f>
        <v/>
      </c>
      <c r="O255" s="58" t="str">
        <f>IF(B255="","",IF(G255="Annulé","Annulé",IF(G255="Terminé","Terminé",IF(M255=0,"À compléter",IF(N(F255)=0,"Sans échéance",IF(M255&gt;F255,"En retard",IF(F255-M255&lt;=p_margin,"Juste","À l'heure")))))))</f>
        <v/>
      </c>
      <c r="P255" s="55" t="n"/>
      <c r="Q255" s="63" t="str">
        <f>IF(OR(B255="",N(D255)&lt;=0),"",MIN(1,N(P255)/D255))</f>
        <v/>
      </c>
      <c r="R255" s="64" t="str">
        <f>IF(OR(J255="",ISNA(MATCH(I255,po_code,0))),"",ROUND(J255*N(INDEX(po_rate,MATCH(I255,po_code,0))),2))</f>
        <v/>
      </c>
      <c r="S255" s="58" t="str">
        <f>IF(AND(A255="",B255=""),"",IF(B255="","Référence manquante",IF(ISNA(MATCH($B255,art_ref,0)),"Référence inconnue",IF(N(D255)&lt;=0,"Quantité invalide",IF(AND(A255&lt;&gt;"",COUNTIF(of_num,A255)&gt;1),"N° OF en double",IF(G255="Annulé","OK",IF(I255="","Poste manquant (gamme)",IF(ISNA(MATCH(I255,po_code,0)),"Poste inconnu",IF(K255="","Capacité du poste nulle",IF(AND(H255&lt;&gt;"",N(H255)=0),"Début imposé invalide",IF(AND(N(H255)&gt;0,WORKDAY.INTL(H255-1,1,p_weekend,p_holidays)&lt;&gt;H255),"Début un jour chômé",IF(AND(N(H255)&gt;0,H255&lt;=SUMPRODUCT(MAX(($I$6:$I254=$I255)*$M$6:$M254))),"Chevauche l'OF précédent",IF(N(F255)=0,"Date de besoin manquante","OK")))))))))))))</f>
        <v/>
      </c>
      <c r="T255" s="65" t="str">
        <f>IF(K255="","",J255/K255)</f>
        <v/>
      </c>
      <c r="U255" s="66" t="str">
        <f>IF(OR(O255="En retard",O255="Juste"),COUNTIF($O$6:O255,"En retard")+COUNTIF($O$6:O255,"Juste"),"")</f>
        <v/>
      </c>
    </row>
    <row r="256">
      <c r="A256" s="53" t="n"/>
      <c r="B256" s="53" t="n"/>
      <c r="C256" s="54" t="str">
        <f>IF(B256="","",IFERROR(INDEX(art_des,MATCH($B256,art_ref,0)),"Référence inconnue"))</f>
        <v/>
      </c>
      <c r="D256" s="55" t="n"/>
      <c r="E256" s="53" t="n"/>
      <c r="F256" s="56" t="n"/>
      <c r="G256" s="57" t="n"/>
      <c r="H256" s="56" t="n"/>
      <c r="I256" s="58" t="str">
        <f>IF(B256="","",IFERROR(INDEX(art_poste,MATCH($B256,art_ref,0))&amp;"",""))</f>
        <v/>
      </c>
      <c r="J256" s="59" t="str">
        <f>IF(OR(B256="",G256="Annulé",N(D256)&lt;=0),"",IFERROR(ROUND(INDEX(art_setup,MATCH($B256,art_ref,0))+D256*INDEX(art_cycle,MATCH($B256,art_ref,0))/60,2),""))</f>
        <v/>
      </c>
      <c r="K256" s="60" t="str">
        <f>IF(J256="","",IFERROR(MAX(1,ROUNDUP(J256/INDEX(po_cap,MATCH(I256,po_code,0)),0)),""))</f>
        <v/>
      </c>
      <c r="L256" s="61">
        <f>IF(K256="",0,IF(N(H256)&gt;0,H256,WORKDAY.INTL(MAX(p_start-1,SUMPRODUCT(MAX(($I$6:$I255=$I256)*$M$6:$M255))),1,p_weekend,p_holidays)))</f>
        <v>0.0</v>
      </c>
      <c r="M256" s="61">
        <f>IF(K256="",0,WORKDAY.INTL(L256,K256-1,p_weekend,p_holidays))</f>
        <v>0.0</v>
      </c>
      <c r="N256" s="62" t="str">
        <f>IF(OR(M256=0,N(F256)=0,G256="Terminé"),"",F256-M256)</f>
        <v/>
      </c>
      <c r="O256" s="58" t="str">
        <f>IF(B256="","",IF(G256="Annulé","Annulé",IF(G256="Terminé","Terminé",IF(M256=0,"À compléter",IF(N(F256)=0,"Sans échéance",IF(M256&gt;F256,"En retard",IF(F256-M256&lt;=p_margin,"Juste","À l'heure")))))))</f>
        <v/>
      </c>
      <c r="P256" s="55" t="n"/>
      <c r="Q256" s="63" t="str">
        <f>IF(OR(B256="",N(D256)&lt;=0),"",MIN(1,N(P256)/D256))</f>
        <v/>
      </c>
      <c r="R256" s="64" t="str">
        <f>IF(OR(J256="",ISNA(MATCH(I256,po_code,0))),"",ROUND(J256*N(INDEX(po_rate,MATCH(I256,po_code,0))),2))</f>
        <v/>
      </c>
      <c r="S256" s="58" t="str">
        <f>IF(AND(A256="",B256=""),"",IF(B256="","Référence manquante",IF(ISNA(MATCH($B256,art_ref,0)),"Référence inconnue",IF(N(D256)&lt;=0,"Quantité invalide",IF(AND(A256&lt;&gt;"",COUNTIF(of_num,A256)&gt;1),"N° OF en double",IF(G256="Annulé","OK",IF(I256="","Poste manquant (gamme)",IF(ISNA(MATCH(I256,po_code,0)),"Poste inconnu",IF(K256="","Capacité du poste nulle",IF(AND(H256&lt;&gt;"",N(H256)=0),"Début imposé invalide",IF(AND(N(H256)&gt;0,WORKDAY.INTL(H256-1,1,p_weekend,p_holidays)&lt;&gt;H256),"Début un jour chômé",IF(AND(N(H256)&gt;0,H256&lt;=SUMPRODUCT(MAX(($I$6:$I255=$I256)*$M$6:$M255))),"Chevauche l'OF précédent",IF(N(F256)=0,"Date de besoin manquante","OK")))))))))))))</f>
        <v/>
      </c>
      <c r="T256" s="65" t="str">
        <f>IF(K256="","",J256/K256)</f>
        <v/>
      </c>
      <c r="U256" s="66" t="str">
        <f>IF(OR(O256="En retard",O256="Juste"),COUNTIF($O$6:O256,"En retard")+COUNTIF($O$6:O256,"Juste"),"")</f>
        <v/>
      </c>
    </row>
    <row r="257">
      <c r="A257" s="53" t="n"/>
      <c r="B257" s="53" t="n"/>
      <c r="C257" s="54" t="str">
        <f>IF(B257="","",IFERROR(INDEX(art_des,MATCH($B257,art_ref,0)),"Référence inconnue"))</f>
        <v/>
      </c>
      <c r="D257" s="55" t="n"/>
      <c r="E257" s="53" t="n"/>
      <c r="F257" s="56" t="n"/>
      <c r="G257" s="57" t="n"/>
      <c r="H257" s="56" t="n"/>
      <c r="I257" s="58" t="str">
        <f>IF(B257="","",IFERROR(INDEX(art_poste,MATCH($B257,art_ref,0))&amp;"",""))</f>
        <v/>
      </c>
      <c r="J257" s="59" t="str">
        <f>IF(OR(B257="",G257="Annulé",N(D257)&lt;=0),"",IFERROR(ROUND(INDEX(art_setup,MATCH($B257,art_ref,0))+D257*INDEX(art_cycle,MATCH($B257,art_ref,0))/60,2),""))</f>
        <v/>
      </c>
      <c r="K257" s="60" t="str">
        <f>IF(J257="","",IFERROR(MAX(1,ROUNDUP(J257/INDEX(po_cap,MATCH(I257,po_code,0)),0)),""))</f>
        <v/>
      </c>
      <c r="L257" s="61">
        <f>IF(K257="",0,IF(N(H257)&gt;0,H257,WORKDAY.INTL(MAX(p_start-1,SUMPRODUCT(MAX(($I$6:$I256=$I257)*$M$6:$M256))),1,p_weekend,p_holidays)))</f>
        <v>0.0</v>
      </c>
      <c r="M257" s="61">
        <f>IF(K257="",0,WORKDAY.INTL(L257,K257-1,p_weekend,p_holidays))</f>
        <v>0.0</v>
      </c>
      <c r="N257" s="62" t="str">
        <f>IF(OR(M257=0,N(F257)=0,G257="Terminé"),"",F257-M257)</f>
        <v/>
      </c>
      <c r="O257" s="58" t="str">
        <f>IF(B257="","",IF(G257="Annulé","Annulé",IF(G257="Terminé","Terminé",IF(M257=0,"À compléter",IF(N(F257)=0,"Sans échéance",IF(M257&gt;F257,"En retard",IF(F257-M257&lt;=p_margin,"Juste","À l'heure")))))))</f>
        <v/>
      </c>
      <c r="P257" s="55" t="n"/>
      <c r="Q257" s="63" t="str">
        <f>IF(OR(B257="",N(D257)&lt;=0),"",MIN(1,N(P257)/D257))</f>
        <v/>
      </c>
      <c r="R257" s="64" t="str">
        <f>IF(OR(J257="",ISNA(MATCH(I257,po_code,0))),"",ROUND(J257*N(INDEX(po_rate,MATCH(I257,po_code,0))),2))</f>
        <v/>
      </c>
      <c r="S257" s="58" t="str">
        <f>IF(AND(A257="",B257=""),"",IF(B257="","Référence manquante",IF(ISNA(MATCH($B257,art_ref,0)),"Référence inconnue",IF(N(D257)&lt;=0,"Quantité invalide",IF(AND(A257&lt;&gt;"",COUNTIF(of_num,A257)&gt;1),"N° OF en double",IF(G257="Annulé","OK",IF(I257="","Poste manquant (gamme)",IF(ISNA(MATCH(I257,po_code,0)),"Poste inconnu",IF(K257="","Capacité du poste nulle",IF(AND(H257&lt;&gt;"",N(H257)=0),"Début imposé invalide",IF(AND(N(H257)&gt;0,WORKDAY.INTL(H257-1,1,p_weekend,p_holidays)&lt;&gt;H257),"Début un jour chômé",IF(AND(N(H257)&gt;0,H257&lt;=SUMPRODUCT(MAX(($I$6:$I256=$I257)*$M$6:$M256))),"Chevauche l'OF précédent",IF(N(F257)=0,"Date de besoin manquante","OK")))))))))))))</f>
        <v/>
      </c>
      <c r="T257" s="65" t="str">
        <f>IF(K257="","",J257/K257)</f>
        <v/>
      </c>
      <c r="U257" s="66" t="str">
        <f>IF(OR(O257="En retard",O257="Juste"),COUNTIF($O$6:O257,"En retard")+COUNTIF($O$6:O257,"Juste"),"")</f>
        <v/>
      </c>
    </row>
    <row r="258">
      <c r="A258" s="53" t="n"/>
      <c r="B258" s="53" t="n"/>
      <c r="C258" s="54" t="str">
        <f>IF(B258="","",IFERROR(INDEX(art_des,MATCH($B258,art_ref,0)),"Référence inconnue"))</f>
        <v/>
      </c>
      <c r="D258" s="55" t="n"/>
      <c r="E258" s="53" t="n"/>
      <c r="F258" s="56" t="n"/>
      <c r="G258" s="57" t="n"/>
      <c r="H258" s="56" t="n"/>
      <c r="I258" s="58" t="str">
        <f>IF(B258="","",IFERROR(INDEX(art_poste,MATCH($B258,art_ref,0))&amp;"",""))</f>
        <v/>
      </c>
      <c r="J258" s="59" t="str">
        <f>IF(OR(B258="",G258="Annulé",N(D258)&lt;=0),"",IFERROR(ROUND(INDEX(art_setup,MATCH($B258,art_ref,0))+D258*INDEX(art_cycle,MATCH($B258,art_ref,0))/60,2),""))</f>
        <v/>
      </c>
      <c r="K258" s="60" t="str">
        <f>IF(J258="","",IFERROR(MAX(1,ROUNDUP(J258/INDEX(po_cap,MATCH(I258,po_code,0)),0)),""))</f>
        <v/>
      </c>
      <c r="L258" s="61">
        <f>IF(K258="",0,IF(N(H258)&gt;0,H258,WORKDAY.INTL(MAX(p_start-1,SUMPRODUCT(MAX(($I$6:$I257=$I258)*$M$6:$M257))),1,p_weekend,p_holidays)))</f>
        <v>0.0</v>
      </c>
      <c r="M258" s="61">
        <f>IF(K258="",0,WORKDAY.INTL(L258,K258-1,p_weekend,p_holidays))</f>
        <v>0.0</v>
      </c>
      <c r="N258" s="62" t="str">
        <f>IF(OR(M258=0,N(F258)=0,G258="Terminé"),"",F258-M258)</f>
        <v/>
      </c>
      <c r="O258" s="58" t="str">
        <f>IF(B258="","",IF(G258="Annulé","Annulé",IF(G258="Terminé","Terminé",IF(M258=0,"À compléter",IF(N(F258)=0,"Sans échéance",IF(M258&gt;F258,"En retard",IF(F258-M258&lt;=p_margin,"Juste","À l'heure")))))))</f>
        <v/>
      </c>
      <c r="P258" s="55" t="n"/>
      <c r="Q258" s="63" t="str">
        <f>IF(OR(B258="",N(D258)&lt;=0),"",MIN(1,N(P258)/D258))</f>
        <v/>
      </c>
      <c r="R258" s="64" t="str">
        <f>IF(OR(J258="",ISNA(MATCH(I258,po_code,0))),"",ROUND(J258*N(INDEX(po_rate,MATCH(I258,po_code,0))),2))</f>
        <v/>
      </c>
      <c r="S258" s="58" t="str">
        <f>IF(AND(A258="",B258=""),"",IF(B258="","Référence manquante",IF(ISNA(MATCH($B258,art_ref,0)),"Référence inconnue",IF(N(D258)&lt;=0,"Quantité invalide",IF(AND(A258&lt;&gt;"",COUNTIF(of_num,A258)&gt;1),"N° OF en double",IF(G258="Annulé","OK",IF(I258="","Poste manquant (gamme)",IF(ISNA(MATCH(I258,po_code,0)),"Poste inconnu",IF(K258="","Capacité du poste nulle",IF(AND(H258&lt;&gt;"",N(H258)=0),"Début imposé invalide",IF(AND(N(H258)&gt;0,WORKDAY.INTL(H258-1,1,p_weekend,p_holidays)&lt;&gt;H258),"Début un jour chômé",IF(AND(N(H258)&gt;0,H258&lt;=SUMPRODUCT(MAX(($I$6:$I257=$I258)*$M$6:$M257))),"Chevauche l'OF précédent",IF(N(F258)=0,"Date de besoin manquante","OK")))))))))))))</f>
        <v/>
      </c>
      <c r="T258" s="65" t="str">
        <f>IF(K258="","",J258/K258)</f>
        <v/>
      </c>
      <c r="U258" s="66" t="str">
        <f>IF(OR(O258="En retard",O258="Juste"),COUNTIF($O$6:O258,"En retard")+COUNTIF($O$6:O258,"Juste"),"")</f>
        <v/>
      </c>
    </row>
    <row r="259">
      <c r="A259" s="53" t="n"/>
      <c r="B259" s="53" t="n"/>
      <c r="C259" s="54" t="str">
        <f>IF(B259="","",IFERROR(INDEX(art_des,MATCH($B259,art_ref,0)),"Référence inconnue"))</f>
        <v/>
      </c>
      <c r="D259" s="55" t="n"/>
      <c r="E259" s="53" t="n"/>
      <c r="F259" s="56" t="n"/>
      <c r="G259" s="57" t="n"/>
      <c r="H259" s="56" t="n"/>
      <c r="I259" s="58" t="str">
        <f>IF(B259="","",IFERROR(INDEX(art_poste,MATCH($B259,art_ref,0))&amp;"",""))</f>
        <v/>
      </c>
      <c r="J259" s="59" t="str">
        <f>IF(OR(B259="",G259="Annulé",N(D259)&lt;=0),"",IFERROR(ROUND(INDEX(art_setup,MATCH($B259,art_ref,0))+D259*INDEX(art_cycle,MATCH($B259,art_ref,0))/60,2),""))</f>
        <v/>
      </c>
      <c r="K259" s="60" t="str">
        <f>IF(J259="","",IFERROR(MAX(1,ROUNDUP(J259/INDEX(po_cap,MATCH(I259,po_code,0)),0)),""))</f>
        <v/>
      </c>
      <c r="L259" s="61">
        <f>IF(K259="",0,IF(N(H259)&gt;0,H259,WORKDAY.INTL(MAX(p_start-1,SUMPRODUCT(MAX(($I$6:$I258=$I259)*$M$6:$M258))),1,p_weekend,p_holidays)))</f>
        <v>0.0</v>
      </c>
      <c r="M259" s="61">
        <f>IF(K259="",0,WORKDAY.INTL(L259,K259-1,p_weekend,p_holidays))</f>
        <v>0.0</v>
      </c>
      <c r="N259" s="62" t="str">
        <f>IF(OR(M259=0,N(F259)=0,G259="Terminé"),"",F259-M259)</f>
        <v/>
      </c>
      <c r="O259" s="58" t="str">
        <f>IF(B259="","",IF(G259="Annulé","Annulé",IF(G259="Terminé","Terminé",IF(M259=0,"À compléter",IF(N(F259)=0,"Sans échéance",IF(M259&gt;F259,"En retard",IF(F259-M259&lt;=p_margin,"Juste","À l'heure")))))))</f>
        <v/>
      </c>
      <c r="P259" s="55" t="n"/>
      <c r="Q259" s="63" t="str">
        <f>IF(OR(B259="",N(D259)&lt;=0),"",MIN(1,N(P259)/D259))</f>
        <v/>
      </c>
      <c r="R259" s="64" t="str">
        <f>IF(OR(J259="",ISNA(MATCH(I259,po_code,0))),"",ROUND(J259*N(INDEX(po_rate,MATCH(I259,po_code,0))),2))</f>
        <v/>
      </c>
      <c r="S259" s="58" t="str">
        <f>IF(AND(A259="",B259=""),"",IF(B259="","Référence manquante",IF(ISNA(MATCH($B259,art_ref,0)),"Référence inconnue",IF(N(D259)&lt;=0,"Quantité invalide",IF(AND(A259&lt;&gt;"",COUNTIF(of_num,A259)&gt;1),"N° OF en double",IF(G259="Annulé","OK",IF(I259="","Poste manquant (gamme)",IF(ISNA(MATCH(I259,po_code,0)),"Poste inconnu",IF(K259="","Capacité du poste nulle",IF(AND(H259&lt;&gt;"",N(H259)=0),"Début imposé invalide",IF(AND(N(H259)&gt;0,WORKDAY.INTL(H259-1,1,p_weekend,p_holidays)&lt;&gt;H259),"Début un jour chômé",IF(AND(N(H259)&gt;0,H259&lt;=SUMPRODUCT(MAX(($I$6:$I258=$I259)*$M$6:$M258))),"Chevauche l'OF précédent",IF(N(F259)=0,"Date de besoin manquante","OK")))))))))))))</f>
        <v/>
      </c>
      <c r="T259" s="65" t="str">
        <f>IF(K259="","",J259/K259)</f>
        <v/>
      </c>
      <c r="U259" s="66" t="str">
        <f>IF(OR(O259="En retard",O259="Juste"),COUNTIF($O$6:O259,"En retard")+COUNTIF($O$6:O259,"Juste"),"")</f>
        <v/>
      </c>
    </row>
    <row r="260">
      <c r="A260" s="53" t="n"/>
      <c r="B260" s="53" t="n"/>
      <c r="C260" s="54" t="str">
        <f>IF(B260="","",IFERROR(INDEX(art_des,MATCH($B260,art_ref,0)),"Référence inconnue"))</f>
        <v/>
      </c>
      <c r="D260" s="55" t="n"/>
      <c r="E260" s="53" t="n"/>
      <c r="F260" s="56" t="n"/>
      <c r="G260" s="57" t="n"/>
      <c r="H260" s="56" t="n"/>
      <c r="I260" s="58" t="str">
        <f>IF(B260="","",IFERROR(INDEX(art_poste,MATCH($B260,art_ref,0))&amp;"",""))</f>
        <v/>
      </c>
      <c r="J260" s="59" t="str">
        <f>IF(OR(B260="",G260="Annulé",N(D260)&lt;=0),"",IFERROR(ROUND(INDEX(art_setup,MATCH($B260,art_ref,0))+D260*INDEX(art_cycle,MATCH($B260,art_ref,0))/60,2),""))</f>
        <v/>
      </c>
      <c r="K260" s="60" t="str">
        <f>IF(J260="","",IFERROR(MAX(1,ROUNDUP(J260/INDEX(po_cap,MATCH(I260,po_code,0)),0)),""))</f>
        <v/>
      </c>
      <c r="L260" s="61">
        <f>IF(K260="",0,IF(N(H260)&gt;0,H260,WORKDAY.INTL(MAX(p_start-1,SUMPRODUCT(MAX(($I$6:$I259=$I260)*$M$6:$M259))),1,p_weekend,p_holidays)))</f>
        <v>0.0</v>
      </c>
      <c r="M260" s="61">
        <f>IF(K260="",0,WORKDAY.INTL(L260,K260-1,p_weekend,p_holidays))</f>
        <v>0.0</v>
      </c>
      <c r="N260" s="62" t="str">
        <f>IF(OR(M260=0,N(F260)=0,G260="Terminé"),"",F260-M260)</f>
        <v/>
      </c>
      <c r="O260" s="58" t="str">
        <f>IF(B260="","",IF(G260="Annulé","Annulé",IF(G260="Terminé","Terminé",IF(M260=0,"À compléter",IF(N(F260)=0,"Sans échéance",IF(M260&gt;F260,"En retard",IF(F260-M260&lt;=p_margin,"Juste","À l'heure")))))))</f>
        <v/>
      </c>
      <c r="P260" s="55" t="n"/>
      <c r="Q260" s="63" t="str">
        <f>IF(OR(B260="",N(D260)&lt;=0),"",MIN(1,N(P260)/D260))</f>
        <v/>
      </c>
      <c r="R260" s="64" t="str">
        <f>IF(OR(J260="",ISNA(MATCH(I260,po_code,0))),"",ROUND(J260*N(INDEX(po_rate,MATCH(I260,po_code,0))),2))</f>
        <v/>
      </c>
      <c r="S260" s="58" t="str">
        <f>IF(AND(A260="",B260=""),"",IF(B260="","Référence manquante",IF(ISNA(MATCH($B260,art_ref,0)),"Référence inconnue",IF(N(D260)&lt;=0,"Quantité invalide",IF(AND(A260&lt;&gt;"",COUNTIF(of_num,A260)&gt;1),"N° OF en double",IF(G260="Annulé","OK",IF(I260="","Poste manquant (gamme)",IF(ISNA(MATCH(I260,po_code,0)),"Poste inconnu",IF(K260="","Capacité du poste nulle",IF(AND(H260&lt;&gt;"",N(H260)=0),"Début imposé invalide",IF(AND(N(H260)&gt;0,WORKDAY.INTL(H260-1,1,p_weekend,p_holidays)&lt;&gt;H260),"Début un jour chômé",IF(AND(N(H260)&gt;0,H260&lt;=SUMPRODUCT(MAX(($I$6:$I259=$I260)*$M$6:$M259))),"Chevauche l'OF précédent",IF(N(F260)=0,"Date de besoin manquante","OK")))))))))))))</f>
        <v/>
      </c>
      <c r="T260" s="65" t="str">
        <f>IF(K260="","",J260/K260)</f>
        <v/>
      </c>
      <c r="U260" s="66" t="str">
        <f>IF(OR(O260="En retard",O260="Juste"),COUNTIF($O$6:O260,"En retard")+COUNTIF($O$6:O260,"Juste"),"")</f>
        <v/>
      </c>
    </row>
    <row r="261">
      <c r="A261" s="53" t="n"/>
      <c r="B261" s="53" t="n"/>
      <c r="C261" s="54" t="str">
        <f>IF(B261="","",IFERROR(INDEX(art_des,MATCH($B261,art_ref,0)),"Référence inconnue"))</f>
        <v/>
      </c>
      <c r="D261" s="55" t="n"/>
      <c r="E261" s="53" t="n"/>
      <c r="F261" s="56" t="n"/>
      <c r="G261" s="57" t="n"/>
      <c r="H261" s="56" t="n"/>
      <c r="I261" s="58" t="str">
        <f>IF(B261="","",IFERROR(INDEX(art_poste,MATCH($B261,art_ref,0))&amp;"",""))</f>
        <v/>
      </c>
      <c r="J261" s="59" t="str">
        <f>IF(OR(B261="",G261="Annulé",N(D261)&lt;=0),"",IFERROR(ROUND(INDEX(art_setup,MATCH($B261,art_ref,0))+D261*INDEX(art_cycle,MATCH($B261,art_ref,0))/60,2),""))</f>
        <v/>
      </c>
      <c r="K261" s="60" t="str">
        <f>IF(J261="","",IFERROR(MAX(1,ROUNDUP(J261/INDEX(po_cap,MATCH(I261,po_code,0)),0)),""))</f>
        <v/>
      </c>
      <c r="L261" s="61">
        <f>IF(K261="",0,IF(N(H261)&gt;0,H261,WORKDAY.INTL(MAX(p_start-1,SUMPRODUCT(MAX(($I$6:$I260=$I261)*$M$6:$M260))),1,p_weekend,p_holidays)))</f>
        <v>0.0</v>
      </c>
      <c r="M261" s="61">
        <f>IF(K261="",0,WORKDAY.INTL(L261,K261-1,p_weekend,p_holidays))</f>
        <v>0.0</v>
      </c>
      <c r="N261" s="62" t="str">
        <f>IF(OR(M261=0,N(F261)=0,G261="Terminé"),"",F261-M261)</f>
        <v/>
      </c>
      <c r="O261" s="58" t="str">
        <f>IF(B261="","",IF(G261="Annulé","Annulé",IF(G261="Terminé","Terminé",IF(M261=0,"À compléter",IF(N(F261)=0,"Sans échéance",IF(M261&gt;F261,"En retard",IF(F261-M261&lt;=p_margin,"Juste","À l'heure")))))))</f>
        <v/>
      </c>
      <c r="P261" s="55" t="n"/>
      <c r="Q261" s="63" t="str">
        <f>IF(OR(B261="",N(D261)&lt;=0),"",MIN(1,N(P261)/D261))</f>
        <v/>
      </c>
      <c r="R261" s="64" t="str">
        <f>IF(OR(J261="",ISNA(MATCH(I261,po_code,0))),"",ROUND(J261*N(INDEX(po_rate,MATCH(I261,po_code,0))),2))</f>
        <v/>
      </c>
      <c r="S261" s="58" t="str">
        <f>IF(AND(A261="",B261=""),"",IF(B261="","Référence manquante",IF(ISNA(MATCH($B261,art_ref,0)),"Référence inconnue",IF(N(D261)&lt;=0,"Quantité invalide",IF(AND(A261&lt;&gt;"",COUNTIF(of_num,A261)&gt;1),"N° OF en double",IF(G261="Annulé","OK",IF(I261="","Poste manquant (gamme)",IF(ISNA(MATCH(I261,po_code,0)),"Poste inconnu",IF(K261="","Capacité du poste nulle",IF(AND(H261&lt;&gt;"",N(H261)=0),"Début imposé invalide",IF(AND(N(H261)&gt;0,WORKDAY.INTL(H261-1,1,p_weekend,p_holidays)&lt;&gt;H261),"Début un jour chômé",IF(AND(N(H261)&gt;0,H261&lt;=SUMPRODUCT(MAX(($I$6:$I260=$I261)*$M$6:$M260))),"Chevauche l'OF précédent",IF(N(F261)=0,"Date de besoin manquante","OK")))))))))))))</f>
        <v/>
      </c>
      <c r="T261" s="65" t="str">
        <f>IF(K261="","",J261/K261)</f>
        <v/>
      </c>
      <c r="U261" s="66" t="str">
        <f>IF(OR(O261="En retard",O261="Juste"),COUNTIF($O$6:O261,"En retard")+COUNTIF($O$6:O261,"Juste"),"")</f>
        <v/>
      </c>
    </row>
    <row r="262">
      <c r="A262" s="53" t="n"/>
      <c r="B262" s="53" t="n"/>
      <c r="C262" s="54" t="str">
        <f>IF(B262="","",IFERROR(INDEX(art_des,MATCH($B262,art_ref,0)),"Référence inconnue"))</f>
        <v/>
      </c>
      <c r="D262" s="55" t="n"/>
      <c r="E262" s="53" t="n"/>
      <c r="F262" s="56" t="n"/>
      <c r="G262" s="57" t="n"/>
      <c r="H262" s="56" t="n"/>
      <c r="I262" s="58" t="str">
        <f>IF(B262="","",IFERROR(INDEX(art_poste,MATCH($B262,art_ref,0))&amp;"",""))</f>
        <v/>
      </c>
      <c r="J262" s="59" t="str">
        <f>IF(OR(B262="",G262="Annulé",N(D262)&lt;=0),"",IFERROR(ROUND(INDEX(art_setup,MATCH($B262,art_ref,0))+D262*INDEX(art_cycle,MATCH($B262,art_ref,0))/60,2),""))</f>
        <v/>
      </c>
      <c r="K262" s="60" t="str">
        <f>IF(J262="","",IFERROR(MAX(1,ROUNDUP(J262/INDEX(po_cap,MATCH(I262,po_code,0)),0)),""))</f>
        <v/>
      </c>
      <c r="L262" s="61">
        <f>IF(K262="",0,IF(N(H262)&gt;0,H262,WORKDAY.INTL(MAX(p_start-1,SUMPRODUCT(MAX(($I$6:$I261=$I262)*$M$6:$M261))),1,p_weekend,p_holidays)))</f>
        <v>0.0</v>
      </c>
      <c r="M262" s="61">
        <f>IF(K262="",0,WORKDAY.INTL(L262,K262-1,p_weekend,p_holidays))</f>
        <v>0.0</v>
      </c>
      <c r="N262" s="62" t="str">
        <f>IF(OR(M262=0,N(F262)=0,G262="Terminé"),"",F262-M262)</f>
        <v/>
      </c>
      <c r="O262" s="58" t="str">
        <f>IF(B262="","",IF(G262="Annulé","Annulé",IF(G262="Terminé","Terminé",IF(M262=0,"À compléter",IF(N(F262)=0,"Sans échéance",IF(M262&gt;F262,"En retard",IF(F262-M262&lt;=p_margin,"Juste","À l'heure")))))))</f>
        <v/>
      </c>
      <c r="P262" s="55" t="n"/>
      <c r="Q262" s="63" t="str">
        <f>IF(OR(B262="",N(D262)&lt;=0),"",MIN(1,N(P262)/D262))</f>
        <v/>
      </c>
      <c r="R262" s="64" t="str">
        <f>IF(OR(J262="",ISNA(MATCH(I262,po_code,0))),"",ROUND(J262*N(INDEX(po_rate,MATCH(I262,po_code,0))),2))</f>
        <v/>
      </c>
      <c r="S262" s="58" t="str">
        <f>IF(AND(A262="",B262=""),"",IF(B262="","Référence manquante",IF(ISNA(MATCH($B262,art_ref,0)),"Référence inconnue",IF(N(D262)&lt;=0,"Quantité invalide",IF(AND(A262&lt;&gt;"",COUNTIF(of_num,A262)&gt;1),"N° OF en double",IF(G262="Annulé","OK",IF(I262="","Poste manquant (gamme)",IF(ISNA(MATCH(I262,po_code,0)),"Poste inconnu",IF(K262="","Capacité du poste nulle",IF(AND(H262&lt;&gt;"",N(H262)=0),"Début imposé invalide",IF(AND(N(H262)&gt;0,WORKDAY.INTL(H262-1,1,p_weekend,p_holidays)&lt;&gt;H262),"Début un jour chômé",IF(AND(N(H262)&gt;0,H262&lt;=SUMPRODUCT(MAX(($I$6:$I261=$I262)*$M$6:$M261))),"Chevauche l'OF précédent",IF(N(F262)=0,"Date de besoin manquante","OK")))))))))))))</f>
        <v/>
      </c>
      <c r="T262" s="65" t="str">
        <f>IF(K262="","",J262/K262)</f>
        <v/>
      </c>
      <c r="U262" s="66" t="str">
        <f>IF(OR(O262="En retard",O262="Juste"),COUNTIF($O$6:O262,"En retard")+COUNTIF($O$6:O262,"Juste"),"")</f>
        <v/>
      </c>
    </row>
    <row r="263">
      <c r="A263" s="53" t="n"/>
      <c r="B263" s="53" t="n"/>
      <c r="C263" s="54" t="str">
        <f>IF(B263="","",IFERROR(INDEX(art_des,MATCH($B263,art_ref,0)),"Référence inconnue"))</f>
        <v/>
      </c>
      <c r="D263" s="55" t="n"/>
      <c r="E263" s="53" t="n"/>
      <c r="F263" s="56" t="n"/>
      <c r="G263" s="57" t="n"/>
      <c r="H263" s="56" t="n"/>
      <c r="I263" s="58" t="str">
        <f>IF(B263="","",IFERROR(INDEX(art_poste,MATCH($B263,art_ref,0))&amp;"",""))</f>
        <v/>
      </c>
      <c r="J263" s="59" t="str">
        <f>IF(OR(B263="",G263="Annulé",N(D263)&lt;=0),"",IFERROR(ROUND(INDEX(art_setup,MATCH($B263,art_ref,0))+D263*INDEX(art_cycle,MATCH($B263,art_ref,0))/60,2),""))</f>
        <v/>
      </c>
      <c r="K263" s="60" t="str">
        <f>IF(J263="","",IFERROR(MAX(1,ROUNDUP(J263/INDEX(po_cap,MATCH(I263,po_code,0)),0)),""))</f>
        <v/>
      </c>
      <c r="L263" s="61">
        <f>IF(K263="",0,IF(N(H263)&gt;0,H263,WORKDAY.INTL(MAX(p_start-1,SUMPRODUCT(MAX(($I$6:$I262=$I263)*$M$6:$M262))),1,p_weekend,p_holidays)))</f>
        <v>0.0</v>
      </c>
      <c r="M263" s="61">
        <f>IF(K263="",0,WORKDAY.INTL(L263,K263-1,p_weekend,p_holidays))</f>
        <v>0.0</v>
      </c>
      <c r="N263" s="62" t="str">
        <f>IF(OR(M263=0,N(F263)=0,G263="Terminé"),"",F263-M263)</f>
        <v/>
      </c>
      <c r="O263" s="58" t="str">
        <f>IF(B263="","",IF(G263="Annulé","Annulé",IF(G263="Terminé","Terminé",IF(M263=0,"À compléter",IF(N(F263)=0,"Sans échéance",IF(M263&gt;F263,"En retard",IF(F263-M263&lt;=p_margin,"Juste","À l'heure")))))))</f>
        <v/>
      </c>
      <c r="P263" s="55" t="n"/>
      <c r="Q263" s="63" t="str">
        <f>IF(OR(B263="",N(D263)&lt;=0),"",MIN(1,N(P263)/D263))</f>
        <v/>
      </c>
      <c r="R263" s="64" t="str">
        <f>IF(OR(J263="",ISNA(MATCH(I263,po_code,0))),"",ROUND(J263*N(INDEX(po_rate,MATCH(I263,po_code,0))),2))</f>
        <v/>
      </c>
      <c r="S263" s="58" t="str">
        <f>IF(AND(A263="",B263=""),"",IF(B263="","Référence manquante",IF(ISNA(MATCH($B263,art_ref,0)),"Référence inconnue",IF(N(D263)&lt;=0,"Quantité invalide",IF(AND(A263&lt;&gt;"",COUNTIF(of_num,A263)&gt;1),"N° OF en double",IF(G263="Annulé","OK",IF(I263="","Poste manquant (gamme)",IF(ISNA(MATCH(I263,po_code,0)),"Poste inconnu",IF(K263="","Capacité du poste nulle",IF(AND(H263&lt;&gt;"",N(H263)=0),"Début imposé invalide",IF(AND(N(H263)&gt;0,WORKDAY.INTL(H263-1,1,p_weekend,p_holidays)&lt;&gt;H263),"Début un jour chômé",IF(AND(N(H263)&gt;0,H263&lt;=SUMPRODUCT(MAX(($I$6:$I262=$I263)*$M$6:$M262))),"Chevauche l'OF précédent",IF(N(F263)=0,"Date de besoin manquante","OK")))))))))))))</f>
        <v/>
      </c>
      <c r="T263" s="65" t="str">
        <f>IF(K263="","",J263/K263)</f>
        <v/>
      </c>
      <c r="U263" s="66" t="str">
        <f>IF(OR(O263="En retard",O263="Juste"),COUNTIF($O$6:O263,"En retard")+COUNTIF($O$6:O263,"Juste"),"")</f>
        <v/>
      </c>
    </row>
    <row r="264">
      <c r="A264" s="53" t="n"/>
      <c r="B264" s="53" t="n"/>
      <c r="C264" s="54" t="str">
        <f>IF(B264="","",IFERROR(INDEX(art_des,MATCH($B264,art_ref,0)),"Référence inconnue"))</f>
        <v/>
      </c>
      <c r="D264" s="55" t="n"/>
      <c r="E264" s="53" t="n"/>
      <c r="F264" s="56" t="n"/>
      <c r="G264" s="57" t="n"/>
      <c r="H264" s="56" t="n"/>
      <c r="I264" s="58" t="str">
        <f>IF(B264="","",IFERROR(INDEX(art_poste,MATCH($B264,art_ref,0))&amp;"",""))</f>
        <v/>
      </c>
      <c r="J264" s="59" t="str">
        <f>IF(OR(B264="",G264="Annulé",N(D264)&lt;=0),"",IFERROR(ROUND(INDEX(art_setup,MATCH($B264,art_ref,0))+D264*INDEX(art_cycle,MATCH($B264,art_ref,0))/60,2),""))</f>
        <v/>
      </c>
      <c r="K264" s="60" t="str">
        <f>IF(J264="","",IFERROR(MAX(1,ROUNDUP(J264/INDEX(po_cap,MATCH(I264,po_code,0)),0)),""))</f>
        <v/>
      </c>
      <c r="L264" s="61">
        <f>IF(K264="",0,IF(N(H264)&gt;0,H264,WORKDAY.INTL(MAX(p_start-1,SUMPRODUCT(MAX(($I$6:$I263=$I264)*$M$6:$M263))),1,p_weekend,p_holidays)))</f>
        <v>0.0</v>
      </c>
      <c r="M264" s="61">
        <f>IF(K264="",0,WORKDAY.INTL(L264,K264-1,p_weekend,p_holidays))</f>
        <v>0.0</v>
      </c>
      <c r="N264" s="62" t="str">
        <f>IF(OR(M264=0,N(F264)=0,G264="Terminé"),"",F264-M264)</f>
        <v/>
      </c>
      <c r="O264" s="58" t="str">
        <f>IF(B264="","",IF(G264="Annulé","Annulé",IF(G264="Terminé","Terminé",IF(M264=0,"À compléter",IF(N(F264)=0,"Sans échéance",IF(M264&gt;F264,"En retard",IF(F264-M264&lt;=p_margin,"Juste","À l'heure")))))))</f>
        <v/>
      </c>
      <c r="P264" s="55" t="n"/>
      <c r="Q264" s="63" t="str">
        <f>IF(OR(B264="",N(D264)&lt;=0),"",MIN(1,N(P264)/D264))</f>
        <v/>
      </c>
      <c r="R264" s="64" t="str">
        <f>IF(OR(J264="",ISNA(MATCH(I264,po_code,0))),"",ROUND(J264*N(INDEX(po_rate,MATCH(I264,po_code,0))),2))</f>
        <v/>
      </c>
      <c r="S264" s="58" t="str">
        <f>IF(AND(A264="",B264=""),"",IF(B264="","Référence manquante",IF(ISNA(MATCH($B264,art_ref,0)),"Référence inconnue",IF(N(D264)&lt;=0,"Quantité invalide",IF(AND(A264&lt;&gt;"",COUNTIF(of_num,A264)&gt;1),"N° OF en double",IF(G264="Annulé","OK",IF(I264="","Poste manquant (gamme)",IF(ISNA(MATCH(I264,po_code,0)),"Poste inconnu",IF(K264="","Capacité du poste nulle",IF(AND(H264&lt;&gt;"",N(H264)=0),"Début imposé invalide",IF(AND(N(H264)&gt;0,WORKDAY.INTL(H264-1,1,p_weekend,p_holidays)&lt;&gt;H264),"Début un jour chômé",IF(AND(N(H264)&gt;0,H264&lt;=SUMPRODUCT(MAX(($I$6:$I263=$I264)*$M$6:$M263))),"Chevauche l'OF précédent",IF(N(F264)=0,"Date de besoin manquante","OK")))))))))))))</f>
        <v/>
      </c>
      <c r="T264" s="65" t="str">
        <f>IF(K264="","",J264/K264)</f>
        <v/>
      </c>
      <c r="U264" s="66" t="str">
        <f>IF(OR(O264="En retard",O264="Juste"),COUNTIF($O$6:O264,"En retard")+COUNTIF($O$6:O264,"Juste"),"")</f>
        <v/>
      </c>
    </row>
    <row r="265">
      <c r="A265" s="53" t="n"/>
      <c r="B265" s="53" t="n"/>
      <c r="C265" s="54" t="str">
        <f>IF(B265="","",IFERROR(INDEX(art_des,MATCH($B265,art_ref,0)),"Référence inconnue"))</f>
        <v/>
      </c>
      <c r="D265" s="55" t="n"/>
      <c r="E265" s="53" t="n"/>
      <c r="F265" s="56" t="n"/>
      <c r="G265" s="57" t="n"/>
      <c r="H265" s="56" t="n"/>
      <c r="I265" s="58" t="str">
        <f>IF(B265="","",IFERROR(INDEX(art_poste,MATCH($B265,art_ref,0))&amp;"",""))</f>
        <v/>
      </c>
      <c r="J265" s="59" t="str">
        <f>IF(OR(B265="",G265="Annulé",N(D265)&lt;=0),"",IFERROR(ROUND(INDEX(art_setup,MATCH($B265,art_ref,0))+D265*INDEX(art_cycle,MATCH($B265,art_ref,0))/60,2),""))</f>
        <v/>
      </c>
      <c r="K265" s="60" t="str">
        <f>IF(J265="","",IFERROR(MAX(1,ROUNDUP(J265/INDEX(po_cap,MATCH(I265,po_code,0)),0)),""))</f>
        <v/>
      </c>
      <c r="L265" s="61">
        <f>IF(K265="",0,IF(N(H265)&gt;0,H265,WORKDAY.INTL(MAX(p_start-1,SUMPRODUCT(MAX(($I$6:$I264=$I265)*$M$6:$M264))),1,p_weekend,p_holidays)))</f>
        <v>0.0</v>
      </c>
      <c r="M265" s="61">
        <f>IF(K265="",0,WORKDAY.INTL(L265,K265-1,p_weekend,p_holidays))</f>
        <v>0.0</v>
      </c>
      <c r="N265" s="62" t="str">
        <f>IF(OR(M265=0,N(F265)=0,G265="Terminé"),"",F265-M265)</f>
        <v/>
      </c>
      <c r="O265" s="58" t="str">
        <f>IF(B265="","",IF(G265="Annulé","Annulé",IF(G265="Terminé","Terminé",IF(M265=0,"À compléter",IF(N(F265)=0,"Sans échéance",IF(M265&gt;F265,"En retard",IF(F265-M265&lt;=p_margin,"Juste","À l'heure")))))))</f>
        <v/>
      </c>
      <c r="P265" s="55" t="n"/>
      <c r="Q265" s="63" t="str">
        <f>IF(OR(B265="",N(D265)&lt;=0),"",MIN(1,N(P265)/D265))</f>
        <v/>
      </c>
      <c r="R265" s="64" t="str">
        <f>IF(OR(J265="",ISNA(MATCH(I265,po_code,0))),"",ROUND(J265*N(INDEX(po_rate,MATCH(I265,po_code,0))),2))</f>
        <v/>
      </c>
      <c r="S265" s="58" t="str">
        <f>IF(AND(A265="",B265=""),"",IF(B265="","Référence manquante",IF(ISNA(MATCH($B265,art_ref,0)),"Référence inconnue",IF(N(D265)&lt;=0,"Quantité invalide",IF(AND(A265&lt;&gt;"",COUNTIF(of_num,A265)&gt;1),"N° OF en double",IF(G265="Annulé","OK",IF(I265="","Poste manquant (gamme)",IF(ISNA(MATCH(I265,po_code,0)),"Poste inconnu",IF(K265="","Capacité du poste nulle",IF(AND(H265&lt;&gt;"",N(H265)=0),"Début imposé invalide",IF(AND(N(H265)&gt;0,WORKDAY.INTL(H265-1,1,p_weekend,p_holidays)&lt;&gt;H265),"Début un jour chômé",IF(AND(N(H265)&gt;0,H265&lt;=SUMPRODUCT(MAX(($I$6:$I264=$I265)*$M$6:$M264))),"Chevauche l'OF précédent",IF(N(F265)=0,"Date de besoin manquante","OK")))))))))))))</f>
        <v/>
      </c>
      <c r="T265" s="65" t="str">
        <f>IF(K265="","",J265/K265)</f>
        <v/>
      </c>
      <c r="U265" s="66" t="str">
        <f>IF(OR(O265="En retard",O265="Juste"),COUNTIF($O$6:O265,"En retard")+COUNTIF($O$6:O265,"Juste"),"")</f>
        <v/>
      </c>
    </row>
    <row r="266">
      <c r="A266" s="53" t="n"/>
      <c r="B266" s="53" t="n"/>
      <c r="C266" s="54" t="str">
        <f>IF(B266="","",IFERROR(INDEX(art_des,MATCH($B266,art_ref,0)),"Référence inconnue"))</f>
        <v/>
      </c>
      <c r="D266" s="55" t="n"/>
      <c r="E266" s="53" t="n"/>
      <c r="F266" s="56" t="n"/>
      <c r="G266" s="57" t="n"/>
      <c r="H266" s="56" t="n"/>
      <c r="I266" s="58" t="str">
        <f>IF(B266="","",IFERROR(INDEX(art_poste,MATCH($B266,art_ref,0))&amp;"",""))</f>
        <v/>
      </c>
      <c r="J266" s="59" t="str">
        <f>IF(OR(B266="",G266="Annulé",N(D266)&lt;=0),"",IFERROR(ROUND(INDEX(art_setup,MATCH($B266,art_ref,0))+D266*INDEX(art_cycle,MATCH($B266,art_ref,0))/60,2),""))</f>
        <v/>
      </c>
      <c r="K266" s="60" t="str">
        <f>IF(J266="","",IFERROR(MAX(1,ROUNDUP(J266/INDEX(po_cap,MATCH(I266,po_code,0)),0)),""))</f>
        <v/>
      </c>
      <c r="L266" s="61">
        <f>IF(K266="",0,IF(N(H266)&gt;0,H266,WORKDAY.INTL(MAX(p_start-1,SUMPRODUCT(MAX(($I$6:$I265=$I266)*$M$6:$M265))),1,p_weekend,p_holidays)))</f>
        <v>0.0</v>
      </c>
      <c r="M266" s="61">
        <f>IF(K266="",0,WORKDAY.INTL(L266,K266-1,p_weekend,p_holidays))</f>
        <v>0.0</v>
      </c>
      <c r="N266" s="62" t="str">
        <f>IF(OR(M266=0,N(F266)=0,G266="Terminé"),"",F266-M266)</f>
        <v/>
      </c>
      <c r="O266" s="58" t="str">
        <f>IF(B266="","",IF(G266="Annulé","Annulé",IF(G266="Terminé","Terminé",IF(M266=0,"À compléter",IF(N(F266)=0,"Sans échéance",IF(M266&gt;F266,"En retard",IF(F266-M266&lt;=p_margin,"Juste","À l'heure")))))))</f>
        <v/>
      </c>
      <c r="P266" s="55" t="n"/>
      <c r="Q266" s="63" t="str">
        <f>IF(OR(B266="",N(D266)&lt;=0),"",MIN(1,N(P266)/D266))</f>
        <v/>
      </c>
      <c r="R266" s="64" t="str">
        <f>IF(OR(J266="",ISNA(MATCH(I266,po_code,0))),"",ROUND(J266*N(INDEX(po_rate,MATCH(I266,po_code,0))),2))</f>
        <v/>
      </c>
      <c r="S266" s="58" t="str">
        <f>IF(AND(A266="",B266=""),"",IF(B266="","Référence manquante",IF(ISNA(MATCH($B266,art_ref,0)),"Référence inconnue",IF(N(D266)&lt;=0,"Quantité invalide",IF(AND(A266&lt;&gt;"",COUNTIF(of_num,A266)&gt;1),"N° OF en double",IF(G266="Annulé","OK",IF(I266="","Poste manquant (gamme)",IF(ISNA(MATCH(I266,po_code,0)),"Poste inconnu",IF(K266="","Capacité du poste nulle",IF(AND(H266&lt;&gt;"",N(H266)=0),"Début imposé invalide",IF(AND(N(H266)&gt;0,WORKDAY.INTL(H266-1,1,p_weekend,p_holidays)&lt;&gt;H266),"Début un jour chômé",IF(AND(N(H266)&gt;0,H266&lt;=SUMPRODUCT(MAX(($I$6:$I265=$I266)*$M$6:$M265))),"Chevauche l'OF précédent",IF(N(F266)=0,"Date de besoin manquante","OK")))))))))))))</f>
        <v/>
      </c>
      <c r="T266" s="65" t="str">
        <f>IF(K266="","",J266/K266)</f>
        <v/>
      </c>
      <c r="U266" s="66" t="str">
        <f>IF(OR(O266="En retard",O266="Juste"),COUNTIF($O$6:O266,"En retard")+COUNTIF($O$6:O266,"Juste"),"")</f>
        <v/>
      </c>
    </row>
    <row r="267">
      <c r="A267" s="53" t="n"/>
      <c r="B267" s="53" t="n"/>
      <c r="C267" s="54" t="str">
        <f>IF(B267="","",IFERROR(INDEX(art_des,MATCH($B267,art_ref,0)),"Référence inconnue"))</f>
        <v/>
      </c>
      <c r="D267" s="55" t="n"/>
      <c r="E267" s="53" t="n"/>
      <c r="F267" s="56" t="n"/>
      <c r="G267" s="57" t="n"/>
      <c r="H267" s="56" t="n"/>
      <c r="I267" s="58" t="str">
        <f>IF(B267="","",IFERROR(INDEX(art_poste,MATCH($B267,art_ref,0))&amp;"",""))</f>
        <v/>
      </c>
      <c r="J267" s="59" t="str">
        <f>IF(OR(B267="",G267="Annulé",N(D267)&lt;=0),"",IFERROR(ROUND(INDEX(art_setup,MATCH($B267,art_ref,0))+D267*INDEX(art_cycle,MATCH($B267,art_ref,0))/60,2),""))</f>
        <v/>
      </c>
      <c r="K267" s="60" t="str">
        <f>IF(J267="","",IFERROR(MAX(1,ROUNDUP(J267/INDEX(po_cap,MATCH(I267,po_code,0)),0)),""))</f>
        <v/>
      </c>
      <c r="L267" s="61">
        <f>IF(K267="",0,IF(N(H267)&gt;0,H267,WORKDAY.INTL(MAX(p_start-1,SUMPRODUCT(MAX(($I$6:$I266=$I267)*$M$6:$M266))),1,p_weekend,p_holidays)))</f>
        <v>0.0</v>
      </c>
      <c r="M267" s="61">
        <f>IF(K267="",0,WORKDAY.INTL(L267,K267-1,p_weekend,p_holidays))</f>
        <v>0.0</v>
      </c>
      <c r="N267" s="62" t="str">
        <f>IF(OR(M267=0,N(F267)=0,G267="Terminé"),"",F267-M267)</f>
        <v/>
      </c>
      <c r="O267" s="58" t="str">
        <f>IF(B267="","",IF(G267="Annulé","Annulé",IF(G267="Terminé","Terminé",IF(M267=0,"À compléter",IF(N(F267)=0,"Sans échéance",IF(M267&gt;F267,"En retard",IF(F267-M267&lt;=p_margin,"Juste","À l'heure")))))))</f>
        <v/>
      </c>
      <c r="P267" s="55" t="n"/>
      <c r="Q267" s="63" t="str">
        <f>IF(OR(B267="",N(D267)&lt;=0),"",MIN(1,N(P267)/D267))</f>
        <v/>
      </c>
      <c r="R267" s="64" t="str">
        <f>IF(OR(J267="",ISNA(MATCH(I267,po_code,0))),"",ROUND(J267*N(INDEX(po_rate,MATCH(I267,po_code,0))),2))</f>
        <v/>
      </c>
      <c r="S267" s="58" t="str">
        <f>IF(AND(A267="",B267=""),"",IF(B267="","Référence manquante",IF(ISNA(MATCH($B267,art_ref,0)),"Référence inconnue",IF(N(D267)&lt;=0,"Quantité invalide",IF(AND(A267&lt;&gt;"",COUNTIF(of_num,A267)&gt;1),"N° OF en double",IF(G267="Annulé","OK",IF(I267="","Poste manquant (gamme)",IF(ISNA(MATCH(I267,po_code,0)),"Poste inconnu",IF(K267="","Capacité du poste nulle",IF(AND(H267&lt;&gt;"",N(H267)=0),"Début imposé invalide",IF(AND(N(H267)&gt;0,WORKDAY.INTL(H267-1,1,p_weekend,p_holidays)&lt;&gt;H267),"Début un jour chômé",IF(AND(N(H267)&gt;0,H267&lt;=SUMPRODUCT(MAX(($I$6:$I266=$I267)*$M$6:$M266))),"Chevauche l'OF précédent",IF(N(F267)=0,"Date de besoin manquante","OK")))))))))))))</f>
        <v/>
      </c>
      <c r="T267" s="65" t="str">
        <f>IF(K267="","",J267/K267)</f>
        <v/>
      </c>
      <c r="U267" s="66" t="str">
        <f>IF(OR(O267="En retard",O267="Juste"),COUNTIF($O$6:O267,"En retard")+COUNTIF($O$6:O267,"Juste"),"")</f>
        <v/>
      </c>
    </row>
    <row r="268">
      <c r="A268" s="53" t="n"/>
      <c r="B268" s="53" t="n"/>
      <c r="C268" s="54" t="str">
        <f>IF(B268="","",IFERROR(INDEX(art_des,MATCH($B268,art_ref,0)),"Référence inconnue"))</f>
        <v/>
      </c>
      <c r="D268" s="55" t="n"/>
      <c r="E268" s="53" t="n"/>
      <c r="F268" s="56" t="n"/>
      <c r="G268" s="57" t="n"/>
      <c r="H268" s="56" t="n"/>
      <c r="I268" s="58" t="str">
        <f>IF(B268="","",IFERROR(INDEX(art_poste,MATCH($B268,art_ref,0))&amp;"",""))</f>
        <v/>
      </c>
      <c r="J268" s="59" t="str">
        <f>IF(OR(B268="",G268="Annulé",N(D268)&lt;=0),"",IFERROR(ROUND(INDEX(art_setup,MATCH($B268,art_ref,0))+D268*INDEX(art_cycle,MATCH($B268,art_ref,0))/60,2),""))</f>
        <v/>
      </c>
      <c r="K268" s="60" t="str">
        <f>IF(J268="","",IFERROR(MAX(1,ROUNDUP(J268/INDEX(po_cap,MATCH(I268,po_code,0)),0)),""))</f>
        <v/>
      </c>
      <c r="L268" s="61">
        <f>IF(K268="",0,IF(N(H268)&gt;0,H268,WORKDAY.INTL(MAX(p_start-1,SUMPRODUCT(MAX(($I$6:$I267=$I268)*$M$6:$M267))),1,p_weekend,p_holidays)))</f>
        <v>0.0</v>
      </c>
      <c r="M268" s="61">
        <f>IF(K268="",0,WORKDAY.INTL(L268,K268-1,p_weekend,p_holidays))</f>
        <v>0.0</v>
      </c>
      <c r="N268" s="62" t="str">
        <f>IF(OR(M268=0,N(F268)=0,G268="Terminé"),"",F268-M268)</f>
        <v/>
      </c>
      <c r="O268" s="58" t="str">
        <f>IF(B268="","",IF(G268="Annulé","Annulé",IF(G268="Terminé","Terminé",IF(M268=0,"À compléter",IF(N(F268)=0,"Sans échéance",IF(M268&gt;F268,"En retard",IF(F268-M268&lt;=p_margin,"Juste","À l'heure")))))))</f>
        <v/>
      </c>
      <c r="P268" s="55" t="n"/>
      <c r="Q268" s="63" t="str">
        <f>IF(OR(B268="",N(D268)&lt;=0),"",MIN(1,N(P268)/D268))</f>
        <v/>
      </c>
      <c r="R268" s="64" t="str">
        <f>IF(OR(J268="",ISNA(MATCH(I268,po_code,0))),"",ROUND(J268*N(INDEX(po_rate,MATCH(I268,po_code,0))),2))</f>
        <v/>
      </c>
      <c r="S268" s="58" t="str">
        <f>IF(AND(A268="",B268=""),"",IF(B268="","Référence manquante",IF(ISNA(MATCH($B268,art_ref,0)),"Référence inconnue",IF(N(D268)&lt;=0,"Quantité invalide",IF(AND(A268&lt;&gt;"",COUNTIF(of_num,A268)&gt;1),"N° OF en double",IF(G268="Annulé","OK",IF(I268="","Poste manquant (gamme)",IF(ISNA(MATCH(I268,po_code,0)),"Poste inconnu",IF(K268="","Capacité du poste nulle",IF(AND(H268&lt;&gt;"",N(H268)=0),"Début imposé invalide",IF(AND(N(H268)&gt;0,WORKDAY.INTL(H268-1,1,p_weekend,p_holidays)&lt;&gt;H268),"Début un jour chômé",IF(AND(N(H268)&gt;0,H268&lt;=SUMPRODUCT(MAX(($I$6:$I267=$I268)*$M$6:$M267))),"Chevauche l'OF précédent",IF(N(F268)=0,"Date de besoin manquante","OK")))))))))))))</f>
        <v/>
      </c>
      <c r="T268" s="65" t="str">
        <f>IF(K268="","",J268/K268)</f>
        <v/>
      </c>
      <c r="U268" s="66" t="str">
        <f>IF(OR(O268="En retard",O268="Juste"),COUNTIF($O$6:O268,"En retard")+COUNTIF($O$6:O268,"Juste"),"")</f>
        <v/>
      </c>
    </row>
    <row r="269">
      <c r="A269" s="53" t="n"/>
      <c r="B269" s="53" t="n"/>
      <c r="C269" s="54" t="str">
        <f>IF(B269="","",IFERROR(INDEX(art_des,MATCH($B269,art_ref,0)),"Référence inconnue"))</f>
        <v/>
      </c>
      <c r="D269" s="55" t="n"/>
      <c r="E269" s="53" t="n"/>
      <c r="F269" s="56" t="n"/>
      <c r="G269" s="57" t="n"/>
      <c r="H269" s="56" t="n"/>
      <c r="I269" s="58" t="str">
        <f>IF(B269="","",IFERROR(INDEX(art_poste,MATCH($B269,art_ref,0))&amp;"",""))</f>
        <v/>
      </c>
      <c r="J269" s="59" t="str">
        <f>IF(OR(B269="",G269="Annulé",N(D269)&lt;=0),"",IFERROR(ROUND(INDEX(art_setup,MATCH($B269,art_ref,0))+D269*INDEX(art_cycle,MATCH($B269,art_ref,0))/60,2),""))</f>
        <v/>
      </c>
      <c r="K269" s="60" t="str">
        <f>IF(J269="","",IFERROR(MAX(1,ROUNDUP(J269/INDEX(po_cap,MATCH(I269,po_code,0)),0)),""))</f>
        <v/>
      </c>
      <c r="L269" s="61">
        <f>IF(K269="",0,IF(N(H269)&gt;0,H269,WORKDAY.INTL(MAX(p_start-1,SUMPRODUCT(MAX(($I$6:$I268=$I269)*$M$6:$M268))),1,p_weekend,p_holidays)))</f>
        <v>0.0</v>
      </c>
      <c r="M269" s="61">
        <f>IF(K269="",0,WORKDAY.INTL(L269,K269-1,p_weekend,p_holidays))</f>
        <v>0.0</v>
      </c>
      <c r="N269" s="62" t="str">
        <f>IF(OR(M269=0,N(F269)=0,G269="Terminé"),"",F269-M269)</f>
        <v/>
      </c>
      <c r="O269" s="58" t="str">
        <f>IF(B269="","",IF(G269="Annulé","Annulé",IF(G269="Terminé","Terminé",IF(M269=0,"À compléter",IF(N(F269)=0,"Sans échéance",IF(M269&gt;F269,"En retard",IF(F269-M269&lt;=p_margin,"Juste","À l'heure")))))))</f>
        <v/>
      </c>
      <c r="P269" s="55" t="n"/>
      <c r="Q269" s="63" t="str">
        <f>IF(OR(B269="",N(D269)&lt;=0),"",MIN(1,N(P269)/D269))</f>
        <v/>
      </c>
      <c r="R269" s="64" t="str">
        <f>IF(OR(J269="",ISNA(MATCH(I269,po_code,0))),"",ROUND(J269*N(INDEX(po_rate,MATCH(I269,po_code,0))),2))</f>
        <v/>
      </c>
      <c r="S269" s="58" t="str">
        <f>IF(AND(A269="",B269=""),"",IF(B269="","Référence manquante",IF(ISNA(MATCH($B269,art_ref,0)),"Référence inconnue",IF(N(D269)&lt;=0,"Quantité invalide",IF(AND(A269&lt;&gt;"",COUNTIF(of_num,A269)&gt;1),"N° OF en double",IF(G269="Annulé","OK",IF(I269="","Poste manquant (gamme)",IF(ISNA(MATCH(I269,po_code,0)),"Poste inconnu",IF(K269="","Capacité du poste nulle",IF(AND(H269&lt;&gt;"",N(H269)=0),"Début imposé invalide",IF(AND(N(H269)&gt;0,WORKDAY.INTL(H269-1,1,p_weekend,p_holidays)&lt;&gt;H269),"Début un jour chômé",IF(AND(N(H269)&gt;0,H269&lt;=SUMPRODUCT(MAX(($I$6:$I268=$I269)*$M$6:$M268))),"Chevauche l'OF précédent",IF(N(F269)=0,"Date de besoin manquante","OK")))))))))))))</f>
        <v/>
      </c>
      <c r="T269" s="65" t="str">
        <f>IF(K269="","",J269/K269)</f>
        <v/>
      </c>
      <c r="U269" s="66" t="str">
        <f>IF(OR(O269="En retard",O269="Juste"),COUNTIF($O$6:O269,"En retard")+COUNTIF($O$6:O269,"Juste"),"")</f>
        <v/>
      </c>
    </row>
    <row r="270">
      <c r="A270" s="53" t="n"/>
      <c r="B270" s="53" t="n"/>
      <c r="C270" s="54" t="str">
        <f>IF(B270="","",IFERROR(INDEX(art_des,MATCH($B270,art_ref,0)),"Référence inconnue"))</f>
        <v/>
      </c>
      <c r="D270" s="55" t="n"/>
      <c r="E270" s="53" t="n"/>
      <c r="F270" s="56" t="n"/>
      <c r="G270" s="57" t="n"/>
      <c r="H270" s="56" t="n"/>
      <c r="I270" s="58" t="str">
        <f>IF(B270="","",IFERROR(INDEX(art_poste,MATCH($B270,art_ref,0))&amp;"",""))</f>
        <v/>
      </c>
      <c r="J270" s="59" t="str">
        <f>IF(OR(B270="",G270="Annulé",N(D270)&lt;=0),"",IFERROR(ROUND(INDEX(art_setup,MATCH($B270,art_ref,0))+D270*INDEX(art_cycle,MATCH($B270,art_ref,0))/60,2),""))</f>
        <v/>
      </c>
      <c r="K270" s="60" t="str">
        <f>IF(J270="","",IFERROR(MAX(1,ROUNDUP(J270/INDEX(po_cap,MATCH(I270,po_code,0)),0)),""))</f>
        <v/>
      </c>
      <c r="L270" s="61">
        <f>IF(K270="",0,IF(N(H270)&gt;0,H270,WORKDAY.INTL(MAX(p_start-1,SUMPRODUCT(MAX(($I$6:$I269=$I270)*$M$6:$M269))),1,p_weekend,p_holidays)))</f>
        <v>0.0</v>
      </c>
      <c r="M270" s="61">
        <f>IF(K270="",0,WORKDAY.INTL(L270,K270-1,p_weekend,p_holidays))</f>
        <v>0.0</v>
      </c>
      <c r="N270" s="62" t="str">
        <f>IF(OR(M270=0,N(F270)=0,G270="Terminé"),"",F270-M270)</f>
        <v/>
      </c>
      <c r="O270" s="58" t="str">
        <f>IF(B270="","",IF(G270="Annulé","Annulé",IF(G270="Terminé","Terminé",IF(M270=0,"À compléter",IF(N(F270)=0,"Sans échéance",IF(M270&gt;F270,"En retard",IF(F270-M270&lt;=p_margin,"Juste","À l'heure")))))))</f>
        <v/>
      </c>
      <c r="P270" s="55" t="n"/>
      <c r="Q270" s="63" t="str">
        <f>IF(OR(B270="",N(D270)&lt;=0),"",MIN(1,N(P270)/D270))</f>
        <v/>
      </c>
      <c r="R270" s="64" t="str">
        <f>IF(OR(J270="",ISNA(MATCH(I270,po_code,0))),"",ROUND(J270*N(INDEX(po_rate,MATCH(I270,po_code,0))),2))</f>
        <v/>
      </c>
      <c r="S270" s="58" t="str">
        <f>IF(AND(A270="",B270=""),"",IF(B270="","Référence manquante",IF(ISNA(MATCH($B270,art_ref,0)),"Référence inconnue",IF(N(D270)&lt;=0,"Quantité invalide",IF(AND(A270&lt;&gt;"",COUNTIF(of_num,A270)&gt;1),"N° OF en double",IF(G270="Annulé","OK",IF(I270="","Poste manquant (gamme)",IF(ISNA(MATCH(I270,po_code,0)),"Poste inconnu",IF(K270="","Capacité du poste nulle",IF(AND(H270&lt;&gt;"",N(H270)=0),"Début imposé invalide",IF(AND(N(H270)&gt;0,WORKDAY.INTL(H270-1,1,p_weekend,p_holidays)&lt;&gt;H270),"Début un jour chômé",IF(AND(N(H270)&gt;0,H270&lt;=SUMPRODUCT(MAX(($I$6:$I269=$I270)*$M$6:$M269))),"Chevauche l'OF précédent",IF(N(F270)=0,"Date de besoin manquante","OK")))))))))))))</f>
        <v/>
      </c>
      <c r="T270" s="65" t="str">
        <f>IF(K270="","",J270/K270)</f>
        <v/>
      </c>
      <c r="U270" s="66" t="str">
        <f>IF(OR(O270="En retard",O270="Juste"),COUNTIF($O$6:O270,"En retard")+COUNTIF($O$6:O270,"Juste"),"")</f>
        <v/>
      </c>
    </row>
    <row r="271">
      <c r="A271" s="53" t="n"/>
      <c r="B271" s="53" t="n"/>
      <c r="C271" s="54" t="str">
        <f>IF(B271="","",IFERROR(INDEX(art_des,MATCH($B271,art_ref,0)),"Référence inconnue"))</f>
        <v/>
      </c>
      <c r="D271" s="55" t="n"/>
      <c r="E271" s="53" t="n"/>
      <c r="F271" s="56" t="n"/>
      <c r="G271" s="57" t="n"/>
      <c r="H271" s="56" t="n"/>
      <c r="I271" s="58" t="str">
        <f>IF(B271="","",IFERROR(INDEX(art_poste,MATCH($B271,art_ref,0))&amp;"",""))</f>
        <v/>
      </c>
      <c r="J271" s="59" t="str">
        <f>IF(OR(B271="",G271="Annulé",N(D271)&lt;=0),"",IFERROR(ROUND(INDEX(art_setup,MATCH($B271,art_ref,0))+D271*INDEX(art_cycle,MATCH($B271,art_ref,0))/60,2),""))</f>
        <v/>
      </c>
      <c r="K271" s="60" t="str">
        <f>IF(J271="","",IFERROR(MAX(1,ROUNDUP(J271/INDEX(po_cap,MATCH(I271,po_code,0)),0)),""))</f>
        <v/>
      </c>
      <c r="L271" s="61">
        <f>IF(K271="",0,IF(N(H271)&gt;0,H271,WORKDAY.INTL(MAX(p_start-1,SUMPRODUCT(MAX(($I$6:$I270=$I271)*$M$6:$M270))),1,p_weekend,p_holidays)))</f>
        <v>0.0</v>
      </c>
      <c r="M271" s="61">
        <f>IF(K271="",0,WORKDAY.INTL(L271,K271-1,p_weekend,p_holidays))</f>
        <v>0.0</v>
      </c>
      <c r="N271" s="62" t="str">
        <f>IF(OR(M271=0,N(F271)=0,G271="Terminé"),"",F271-M271)</f>
        <v/>
      </c>
      <c r="O271" s="58" t="str">
        <f>IF(B271="","",IF(G271="Annulé","Annulé",IF(G271="Terminé","Terminé",IF(M271=0,"À compléter",IF(N(F271)=0,"Sans échéance",IF(M271&gt;F271,"En retard",IF(F271-M271&lt;=p_margin,"Juste","À l'heure")))))))</f>
        <v/>
      </c>
      <c r="P271" s="55" t="n"/>
      <c r="Q271" s="63" t="str">
        <f>IF(OR(B271="",N(D271)&lt;=0),"",MIN(1,N(P271)/D271))</f>
        <v/>
      </c>
      <c r="R271" s="64" t="str">
        <f>IF(OR(J271="",ISNA(MATCH(I271,po_code,0))),"",ROUND(J271*N(INDEX(po_rate,MATCH(I271,po_code,0))),2))</f>
        <v/>
      </c>
      <c r="S271" s="58" t="str">
        <f>IF(AND(A271="",B271=""),"",IF(B271="","Référence manquante",IF(ISNA(MATCH($B271,art_ref,0)),"Référence inconnue",IF(N(D271)&lt;=0,"Quantité invalide",IF(AND(A271&lt;&gt;"",COUNTIF(of_num,A271)&gt;1),"N° OF en double",IF(G271="Annulé","OK",IF(I271="","Poste manquant (gamme)",IF(ISNA(MATCH(I271,po_code,0)),"Poste inconnu",IF(K271="","Capacité du poste nulle",IF(AND(H271&lt;&gt;"",N(H271)=0),"Début imposé invalide",IF(AND(N(H271)&gt;0,WORKDAY.INTL(H271-1,1,p_weekend,p_holidays)&lt;&gt;H271),"Début un jour chômé",IF(AND(N(H271)&gt;0,H271&lt;=SUMPRODUCT(MAX(($I$6:$I270=$I271)*$M$6:$M270))),"Chevauche l'OF précédent",IF(N(F271)=0,"Date de besoin manquante","OK")))))))))))))</f>
        <v/>
      </c>
      <c r="T271" s="65" t="str">
        <f>IF(K271="","",J271/K271)</f>
        <v/>
      </c>
      <c r="U271" s="66" t="str">
        <f>IF(OR(O271="En retard",O271="Juste"),COUNTIF($O$6:O271,"En retard")+COUNTIF($O$6:O271,"Juste"),"")</f>
        <v/>
      </c>
    </row>
    <row r="272">
      <c r="A272" s="53" t="n"/>
      <c r="B272" s="53" t="n"/>
      <c r="C272" s="54" t="str">
        <f>IF(B272="","",IFERROR(INDEX(art_des,MATCH($B272,art_ref,0)),"Référence inconnue"))</f>
        <v/>
      </c>
      <c r="D272" s="55" t="n"/>
      <c r="E272" s="53" t="n"/>
      <c r="F272" s="56" t="n"/>
      <c r="G272" s="57" t="n"/>
      <c r="H272" s="56" t="n"/>
      <c r="I272" s="58" t="str">
        <f>IF(B272="","",IFERROR(INDEX(art_poste,MATCH($B272,art_ref,0))&amp;"",""))</f>
        <v/>
      </c>
      <c r="J272" s="59" t="str">
        <f>IF(OR(B272="",G272="Annulé",N(D272)&lt;=0),"",IFERROR(ROUND(INDEX(art_setup,MATCH($B272,art_ref,0))+D272*INDEX(art_cycle,MATCH($B272,art_ref,0))/60,2),""))</f>
        <v/>
      </c>
      <c r="K272" s="60" t="str">
        <f>IF(J272="","",IFERROR(MAX(1,ROUNDUP(J272/INDEX(po_cap,MATCH(I272,po_code,0)),0)),""))</f>
        <v/>
      </c>
      <c r="L272" s="61">
        <f>IF(K272="",0,IF(N(H272)&gt;0,H272,WORKDAY.INTL(MAX(p_start-1,SUMPRODUCT(MAX(($I$6:$I271=$I272)*$M$6:$M271))),1,p_weekend,p_holidays)))</f>
        <v>0.0</v>
      </c>
      <c r="M272" s="61">
        <f>IF(K272="",0,WORKDAY.INTL(L272,K272-1,p_weekend,p_holidays))</f>
        <v>0.0</v>
      </c>
      <c r="N272" s="62" t="str">
        <f>IF(OR(M272=0,N(F272)=0,G272="Terminé"),"",F272-M272)</f>
        <v/>
      </c>
      <c r="O272" s="58" t="str">
        <f>IF(B272="","",IF(G272="Annulé","Annulé",IF(G272="Terminé","Terminé",IF(M272=0,"À compléter",IF(N(F272)=0,"Sans échéance",IF(M272&gt;F272,"En retard",IF(F272-M272&lt;=p_margin,"Juste","À l'heure")))))))</f>
        <v/>
      </c>
      <c r="P272" s="55" t="n"/>
      <c r="Q272" s="63" t="str">
        <f>IF(OR(B272="",N(D272)&lt;=0),"",MIN(1,N(P272)/D272))</f>
        <v/>
      </c>
      <c r="R272" s="64" t="str">
        <f>IF(OR(J272="",ISNA(MATCH(I272,po_code,0))),"",ROUND(J272*N(INDEX(po_rate,MATCH(I272,po_code,0))),2))</f>
        <v/>
      </c>
      <c r="S272" s="58" t="str">
        <f>IF(AND(A272="",B272=""),"",IF(B272="","Référence manquante",IF(ISNA(MATCH($B272,art_ref,0)),"Référence inconnue",IF(N(D272)&lt;=0,"Quantité invalide",IF(AND(A272&lt;&gt;"",COUNTIF(of_num,A272)&gt;1),"N° OF en double",IF(G272="Annulé","OK",IF(I272="","Poste manquant (gamme)",IF(ISNA(MATCH(I272,po_code,0)),"Poste inconnu",IF(K272="","Capacité du poste nulle",IF(AND(H272&lt;&gt;"",N(H272)=0),"Début imposé invalide",IF(AND(N(H272)&gt;0,WORKDAY.INTL(H272-1,1,p_weekend,p_holidays)&lt;&gt;H272),"Début un jour chômé",IF(AND(N(H272)&gt;0,H272&lt;=SUMPRODUCT(MAX(($I$6:$I271=$I272)*$M$6:$M271))),"Chevauche l'OF précédent",IF(N(F272)=0,"Date de besoin manquante","OK")))))))))))))</f>
        <v/>
      </c>
      <c r="T272" s="65" t="str">
        <f>IF(K272="","",J272/K272)</f>
        <v/>
      </c>
      <c r="U272" s="66" t="str">
        <f>IF(OR(O272="En retard",O272="Juste"),COUNTIF($O$6:O272,"En retard")+COUNTIF($O$6:O272,"Juste"),"")</f>
        <v/>
      </c>
    </row>
    <row r="273">
      <c r="A273" s="53" t="n"/>
      <c r="B273" s="53" t="n"/>
      <c r="C273" s="54" t="str">
        <f>IF(B273="","",IFERROR(INDEX(art_des,MATCH($B273,art_ref,0)),"Référence inconnue"))</f>
        <v/>
      </c>
      <c r="D273" s="55" t="n"/>
      <c r="E273" s="53" t="n"/>
      <c r="F273" s="56" t="n"/>
      <c r="G273" s="57" t="n"/>
      <c r="H273" s="56" t="n"/>
      <c r="I273" s="58" t="str">
        <f>IF(B273="","",IFERROR(INDEX(art_poste,MATCH($B273,art_ref,0))&amp;"",""))</f>
        <v/>
      </c>
      <c r="J273" s="59" t="str">
        <f>IF(OR(B273="",G273="Annulé",N(D273)&lt;=0),"",IFERROR(ROUND(INDEX(art_setup,MATCH($B273,art_ref,0))+D273*INDEX(art_cycle,MATCH($B273,art_ref,0))/60,2),""))</f>
        <v/>
      </c>
      <c r="K273" s="60" t="str">
        <f>IF(J273="","",IFERROR(MAX(1,ROUNDUP(J273/INDEX(po_cap,MATCH(I273,po_code,0)),0)),""))</f>
        <v/>
      </c>
      <c r="L273" s="61">
        <f>IF(K273="",0,IF(N(H273)&gt;0,H273,WORKDAY.INTL(MAX(p_start-1,SUMPRODUCT(MAX(($I$6:$I272=$I273)*$M$6:$M272))),1,p_weekend,p_holidays)))</f>
        <v>0.0</v>
      </c>
      <c r="M273" s="61">
        <f>IF(K273="",0,WORKDAY.INTL(L273,K273-1,p_weekend,p_holidays))</f>
        <v>0.0</v>
      </c>
      <c r="N273" s="62" t="str">
        <f>IF(OR(M273=0,N(F273)=0,G273="Terminé"),"",F273-M273)</f>
        <v/>
      </c>
      <c r="O273" s="58" t="str">
        <f>IF(B273="","",IF(G273="Annulé","Annulé",IF(G273="Terminé","Terminé",IF(M273=0,"À compléter",IF(N(F273)=0,"Sans échéance",IF(M273&gt;F273,"En retard",IF(F273-M273&lt;=p_margin,"Juste","À l'heure")))))))</f>
        <v/>
      </c>
      <c r="P273" s="55" t="n"/>
      <c r="Q273" s="63" t="str">
        <f>IF(OR(B273="",N(D273)&lt;=0),"",MIN(1,N(P273)/D273))</f>
        <v/>
      </c>
      <c r="R273" s="64" t="str">
        <f>IF(OR(J273="",ISNA(MATCH(I273,po_code,0))),"",ROUND(J273*N(INDEX(po_rate,MATCH(I273,po_code,0))),2))</f>
        <v/>
      </c>
      <c r="S273" s="58" t="str">
        <f>IF(AND(A273="",B273=""),"",IF(B273="","Référence manquante",IF(ISNA(MATCH($B273,art_ref,0)),"Référence inconnue",IF(N(D273)&lt;=0,"Quantité invalide",IF(AND(A273&lt;&gt;"",COUNTIF(of_num,A273)&gt;1),"N° OF en double",IF(G273="Annulé","OK",IF(I273="","Poste manquant (gamme)",IF(ISNA(MATCH(I273,po_code,0)),"Poste inconnu",IF(K273="","Capacité du poste nulle",IF(AND(H273&lt;&gt;"",N(H273)=0),"Début imposé invalide",IF(AND(N(H273)&gt;0,WORKDAY.INTL(H273-1,1,p_weekend,p_holidays)&lt;&gt;H273),"Début un jour chômé",IF(AND(N(H273)&gt;0,H273&lt;=SUMPRODUCT(MAX(($I$6:$I272=$I273)*$M$6:$M272))),"Chevauche l'OF précédent",IF(N(F273)=0,"Date de besoin manquante","OK")))))))))))))</f>
        <v/>
      </c>
      <c r="T273" s="65" t="str">
        <f>IF(K273="","",J273/K273)</f>
        <v/>
      </c>
      <c r="U273" s="66" t="str">
        <f>IF(OR(O273="En retard",O273="Juste"),COUNTIF($O$6:O273,"En retard")+COUNTIF($O$6:O273,"Juste"),"")</f>
        <v/>
      </c>
    </row>
    <row r="274">
      <c r="A274" s="53" t="n"/>
      <c r="B274" s="53" t="n"/>
      <c r="C274" s="54" t="str">
        <f>IF(B274="","",IFERROR(INDEX(art_des,MATCH($B274,art_ref,0)),"Référence inconnue"))</f>
        <v/>
      </c>
      <c r="D274" s="55" t="n"/>
      <c r="E274" s="53" t="n"/>
      <c r="F274" s="56" t="n"/>
      <c r="G274" s="57" t="n"/>
      <c r="H274" s="56" t="n"/>
      <c r="I274" s="58" t="str">
        <f>IF(B274="","",IFERROR(INDEX(art_poste,MATCH($B274,art_ref,0))&amp;"",""))</f>
        <v/>
      </c>
      <c r="J274" s="59" t="str">
        <f>IF(OR(B274="",G274="Annulé",N(D274)&lt;=0),"",IFERROR(ROUND(INDEX(art_setup,MATCH($B274,art_ref,0))+D274*INDEX(art_cycle,MATCH($B274,art_ref,0))/60,2),""))</f>
        <v/>
      </c>
      <c r="K274" s="60" t="str">
        <f>IF(J274="","",IFERROR(MAX(1,ROUNDUP(J274/INDEX(po_cap,MATCH(I274,po_code,0)),0)),""))</f>
        <v/>
      </c>
      <c r="L274" s="61">
        <f>IF(K274="",0,IF(N(H274)&gt;0,H274,WORKDAY.INTL(MAX(p_start-1,SUMPRODUCT(MAX(($I$6:$I273=$I274)*$M$6:$M273))),1,p_weekend,p_holidays)))</f>
        <v>0.0</v>
      </c>
      <c r="M274" s="61">
        <f>IF(K274="",0,WORKDAY.INTL(L274,K274-1,p_weekend,p_holidays))</f>
        <v>0.0</v>
      </c>
      <c r="N274" s="62" t="str">
        <f>IF(OR(M274=0,N(F274)=0,G274="Terminé"),"",F274-M274)</f>
        <v/>
      </c>
      <c r="O274" s="58" t="str">
        <f>IF(B274="","",IF(G274="Annulé","Annulé",IF(G274="Terminé","Terminé",IF(M274=0,"À compléter",IF(N(F274)=0,"Sans échéance",IF(M274&gt;F274,"En retard",IF(F274-M274&lt;=p_margin,"Juste","À l'heure")))))))</f>
        <v/>
      </c>
      <c r="P274" s="55" t="n"/>
      <c r="Q274" s="63" t="str">
        <f>IF(OR(B274="",N(D274)&lt;=0),"",MIN(1,N(P274)/D274))</f>
        <v/>
      </c>
      <c r="R274" s="64" t="str">
        <f>IF(OR(J274="",ISNA(MATCH(I274,po_code,0))),"",ROUND(J274*N(INDEX(po_rate,MATCH(I274,po_code,0))),2))</f>
        <v/>
      </c>
      <c r="S274" s="58" t="str">
        <f>IF(AND(A274="",B274=""),"",IF(B274="","Référence manquante",IF(ISNA(MATCH($B274,art_ref,0)),"Référence inconnue",IF(N(D274)&lt;=0,"Quantité invalide",IF(AND(A274&lt;&gt;"",COUNTIF(of_num,A274)&gt;1),"N° OF en double",IF(G274="Annulé","OK",IF(I274="","Poste manquant (gamme)",IF(ISNA(MATCH(I274,po_code,0)),"Poste inconnu",IF(K274="","Capacité du poste nulle",IF(AND(H274&lt;&gt;"",N(H274)=0),"Début imposé invalide",IF(AND(N(H274)&gt;0,WORKDAY.INTL(H274-1,1,p_weekend,p_holidays)&lt;&gt;H274),"Début un jour chômé",IF(AND(N(H274)&gt;0,H274&lt;=SUMPRODUCT(MAX(($I$6:$I273=$I274)*$M$6:$M273))),"Chevauche l'OF précédent",IF(N(F274)=0,"Date de besoin manquante","OK")))))))))))))</f>
        <v/>
      </c>
      <c r="T274" s="65" t="str">
        <f>IF(K274="","",J274/K274)</f>
        <v/>
      </c>
      <c r="U274" s="66" t="str">
        <f>IF(OR(O274="En retard",O274="Juste"),COUNTIF($O$6:O274,"En retard")+COUNTIF($O$6:O274,"Juste"),"")</f>
        <v/>
      </c>
    </row>
    <row r="275">
      <c r="A275" s="53" t="n"/>
      <c r="B275" s="53" t="n"/>
      <c r="C275" s="54" t="str">
        <f>IF(B275="","",IFERROR(INDEX(art_des,MATCH($B275,art_ref,0)),"Référence inconnue"))</f>
        <v/>
      </c>
      <c r="D275" s="55" t="n"/>
      <c r="E275" s="53" t="n"/>
      <c r="F275" s="56" t="n"/>
      <c r="G275" s="57" t="n"/>
      <c r="H275" s="56" t="n"/>
      <c r="I275" s="58" t="str">
        <f>IF(B275="","",IFERROR(INDEX(art_poste,MATCH($B275,art_ref,0))&amp;"",""))</f>
        <v/>
      </c>
      <c r="J275" s="59" t="str">
        <f>IF(OR(B275="",G275="Annulé",N(D275)&lt;=0),"",IFERROR(ROUND(INDEX(art_setup,MATCH($B275,art_ref,0))+D275*INDEX(art_cycle,MATCH($B275,art_ref,0))/60,2),""))</f>
        <v/>
      </c>
      <c r="K275" s="60" t="str">
        <f>IF(J275="","",IFERROR(MAX(1,ROUNDUP(J275/INDEX(po_cap,MATCH(I275,po_code,0)),0)),""))</f>
        <v/>
      </c>
      <c r="L275" s="61">
        <f>IF(K275="",0,IF(N(H275)&gt;0,H275,WORKDAY.INTL(MAX(p_start-1,SUMPRODUCT(MAX(($I$6:$I274=$I275)*$M$6:$M274))),1,p_weekend,p_holidays)))</f>
        <v>0.0</v>
      </c>
      <c r="M275" s="61">
        <f>IF(K275="",0,WORKDAY.INTL(L275,K275-1,p_weekend,p_holidays))</f>
        <v>0.0</v>
      </c>
      <c r="N275" s="62" t="str">
        <f>IF(OR(M275=0,N(F275)=0,G275="Terminé"),"",F275-M275)</f>
        <v/>
      </c>
      <c r="O275" s="58" t="str">
        <f>IF(B275="","",IF(G275="Annulé","Annulé",IF(G275="Terminé","Terminé",IF(M275=0,"À compléter",IF(N(F275)=0,"Sans échéance",IF(M275&gt;F275,"En retard",IF(F275-M275&lt;=p_margin,"Juste","À l'heure")))))))</f>
        <v/>
      </c>
      <c r="P275" s="55" t="n"/>
      <c r="Q275" s="63" t="str">
        <f>IF(OR(B275="",N(D275)&lt;=0),"",MIN(1,N(P275)/D275))</f>
        <v/>
      </c>
      <c r="R275" s="64" t="str">
        <f>IF(OR(J275="",ISNA(MATCH(I275,po_code,0))),"",ROUND(J275*N(INDEX(po_rate,MATCH(I275,po_code,0))),2))</f>
        <v/>
      </c>
      <c r="S275" s="58" t="str">
        <f>IF(AND(A275="",B275=""),"",IF(B275="","Référence manquante",IF(ISNA(MATCH($B275,art_ref,0)),"Référence inconnue",IF(N(D275)&lt;=0,"Quantité invalide",IF(AND(A275&lt;&gt;"",COUNTIF(of_num,A275)&gt;1),"N° OF en double",IF(G275="Annulé","OK",IF(I275="","Poste manquant (gamme)",IF(ISNA(MATCH(I275,po_code,0)),"Poste inconnu",IF(K275="","Capacité du poste nulle",IF(AND(H275&lt;&gt;"",N(H275)=0),"Début imposé invalide",IF(AND(N(H275)&gt;0,WORKDAY.INTL(H275-1,1,p_weekend,p_holidays)&lt;&gt;H275),"Début un jour chômé",IF(AND(N(H275)&gt;0,H275&lt;=SUMPRODUCT(MAX(($I$6:$I274=$I275)*$M$6:$M274))),"Chevauche l'OF précédent",IF(N(F275)=0,"Date de besoin manquante","OK")))))))))))))</f>
        <v/>
      </c>
      <c r="T275" s="65" t="str">
        <f>IF(K275="","",J275/K275)</f>
        <v/>
      </c>
      <c r="U275" s="66" t="str">
        <f>IF(OR(O275="En retard",O275="Juste"),COUNTIF($O$6:O275,"En retard")+COUNTIF($O$6:O275,"Juste"),"")</f>
        <v/>
      </c>
    </row>
    <row r="276">
      <c r="A276" s="53" t="n"/>
      <c r="B276" s="53" t="n"/>
      <c r="C276" s="54" t="str">
        <f>IF(B276="","",IFERROR(INDEX(art_des,MATCH($B276,art_ref,0)),"Référence inconnue"))</f>
        <v/>
      </c>
      <c r="D276" s="55" t="n"/>
      <c r="E276" s="53" t="n"/>
      <c r="F276" s="56" t="n"/>
      <c r="G276" s="57" t="n"/>
      <c r="H276" s="56" t="n"/>
      <c r="I276" s="58" t="str">
        <f>IF(B276="","",IFERROR(INDEX(art_poste,MATCH($B276,art_ref,0))&amp;"",""))</f>
        <v/>
      </c>
      <c r="J276" s="59" t="str">
        <f>IF(OR(B276="",G276="Annulé",N(D276)&lt;=0),"",IFERROR(ROUND(INDEX(art_setup,MATCH($B276,art_ref,0))+D276*INDEX(art_cycle,MATCH($B276,art_ref,0))/60,2),""))</f>
        <v/>
      </c>
      <c r="K276" s="60" t="str">
        <f>IF(J276="","",IFERROR(MAX(1,ROUNDUP(J276/INDEX(po_cap,MATCH(I276,po_code,0)),0)),""))</f>
        <v/>
      </c>
      <c r="L276" s="61">
        <f>IF(K276="",0,IF(N(H276)&gt;0,H276,WORKDAY.INTL(MAX(p_start-1,SUMPRODUCT(MAX(($I$6:$I275=$I276)*$M$6:$M275))),1,p_weekend,p_holidays)))</f>
        <v>0.0</v>
      </c>
      <c r="M276" s="61">
        <f>IF(K276="",0,WORKDAY.INTL(L276,K276-1,p_weekend,p_holidays))</f>
        <v>0.0</v>
      </c>
      <c r="N276" s="62" t="str">
        <f>IF(OR(M276=0,N(F276)=0,G276="Terminé"),"",F276-M276)</f>
        <v/>
      </c>
      <c r="O276" s="58" t="str">
        <f>IF(B276="","",IF(G276="Annulé","Annulé",IF(G276="Terminé","Terminé",IF(M276=0,"À compléter",IF(N(F276)=0,"Sans échéance",IF(M276&gt;F276,"En retard",IF(F276-M276&lt;=p_margin,"Juste","À l'heure")))))))</f>
        <v/>
      </c>
      <c r="P276" s="55" t="n"/>
      <c r="Q276" s="63" t="str">
        <f>IF(OR(B276="",N(D276)&lt;=0),"",MIN(1,N(P276)/D276))</f>
        <v/>
      </c>
      <c r="R276" s="64" t="str">
        <f>IF(OR(J276="",ISNA(MATCH(I276,po_code,0))),"",ROUND(J276*N(INDEX(po_rate,MATCH(I276,po_code,0))),2))</f>
        <v/>
      </c>
      <c r="S276" s="58" t="str">
        <f>IF(AND(A276="",B276=""),"",IF(B276="","Référence manquante",IF(ISNA(MATCH($B276,art_ref,0)),"Référence inconnue",IF(N(D276)&lt;=0,"Quantité invalide",IF(AND(A276&lt;&gt;"",COUNTIF(of_num,A276)&gt;1),"N° OF en double",IF(G276="Annulé","OK",IF(I276="","Poste manquant (gamme)",IF(ISNA(MATCH(I276,po_code,0)),"Poste inconnu",IF(K276="","Capacité du poste nulle",IF(AND(H276&lt;&gt;"",N(H276)=0),"Début imposé invalide",IF(AND(N(H276)&gt;0,WORKDAY.INTL(H276-1,1,p_weekend,p_holidays)&lt;&gt;H276),"Début un jour chômé",IF(AND(N(H276)&gt;0,H276&lt;=SUMPRODUCT(MAX(($I$6:$I275=$I276)*$M$6:$M275))),"Chevauche l'OF précédent",IF(N(F276)=0,"Date de besoin manquante","OK")))))))))))))</f>
        <v/>
      </c>
      <c r="T276" s="65" t="str">
        <f>IF(K276="","",J276/K276)</f>
        <v/>
      </c>
      <c r="U276" s="66" t="str">
        <f>IF(OR(O276="En retard",O276="Juste"),COUNTIF($O$6:O276,"En retard")+COUNTIF($O$6:O276,"Juste"),"")</f>
        <v/>
      </c>
    </row>
    <row r="277">
      <c r="A277" s="53" t="n"/>
      <c r="B277" s="53" t="n"/>
      <c r="C277" s="54" t="str">
        <f>IF(B277="","",IFERROR(INDEX(art_des,MATCH($B277,art_ref,0)),"Référence inconnue"))</f>
        <v/>
      </c>
      <c r="D277" s="55" t="n"/>
      <c r="E277" s="53" t="n"/>
      <c r="F277" s="56" t="n"/>
      <c r="G277" s="57" t="n"/>
      <c r="H277" s="56" t="n"/>
      <c r="I277" s="58" t="str">
        <f>IF(B277="","",IFERROR(INDEX(art_poste,MATCH($B277,art_ref,0))&amp;"",""))</f>
        <v/>
      </c>
      <c r="J277" s="59" t="str">
        <f>IF(OR(B277="",G277="Annulé",N(D277)&lt;=0),"",IFERROR(ROUND(INDEX(art_setup,MATCH($B277,art_ref,0))+D277*INDEX(art_cycle,MATCH($B277,art_ref,0))/60,2),""))</f>
        <v/>
      </c>
      <c r="K277" s="60" t="str">
        <f>IF(J277="","",IFERROR(MAX(1,ROUNDUP(J277/INDEX(po_cap,MATCH(I277,po_code,0)),0)),""))</f>
        <v/>
      </c>
      <c r="L277" s="61">
        <f>IF(K277="",0,IF(N(H277)&gt;0,H277,WORKDAY.INTL(MAX(p_start-1,SUMPRODUCT(MAX(($I$6:$I276=$I277)*$M$6:$M276))),1,p_weekend,p_holidays)))</f>
        <v>0.0</v>
      </c>
      <c r="M277" s="61">
        <f>IF(K277="",0,WORKDAY.INTL(L277,K277-1,p_weekend,p_holidays))</f>
        <v>0.0</v>
      </c>
      <c r="N277" s="62" t="str">
        <f>IF(OR(M277=0,N(F277)=0,G277="Terminé"),"",F277-M277)</f>
        <v/>
      </c>
      <c r="O277" s="58" t="str">
        <f>IF(B277="","",IF(G277="Annulé","Annulé",IF(G277="Terminé","Terminé",IF(M277=0,"À compléter",IF(N(F277)=0,"Sans échéance",IF(M277&gt;F277,"En retard",IF(F277-M277&lt;=p_margin,"Juste","À l'heure")))))))</f>
        <v/>
      </c>
      <c r="P277" s="55" t="n"/>
      <c r="Q277" s="63" t="str">
        <f>IF(OR(B277="",N(D277)&lt;=0),"",MIN(1,N(P277)/D277))</f>
        <v/>
      </c>
      <c r="R277" s="64" t="str">
        <f>IF(OR(J277="",ISNA(MATCH(I277,po_code,0))),"",ROUND(J277*N(INDEX(po_rate,MATCH(I277,po_code,0))),2))</f>
        <v/>
      </c>
      <c r="S277" s="58" t="str">
        <f>IF(AND(A277="",B277=""),"",IF(B277="","Référence manquante",IF(ISNA(MATCH($B277,art_ref,0)),"Référence inconnue",IF(N(D277)&lt;=0,"Quantité invalide",IF(AND(A277&lt;&gt;"",COUNTIF(of_num,A277)&gt;1),"N° OF en double",IF(G277="Annulé","OK",IF(I277="","Poste manquant (gamme)",IF(ISNA(MATCH(I277,po_code,0)),"Poste inconnu",IF(K277="","Capacité du poste nulle",IF(AND(H277&lt;&gt;"",N(H277)=0),"Début imposé invalide",IF(AND(N(H277)&gt;0,WORKDAY.INTL(H277-1,1,p_weekend,p_holidays)&lt;&gt;H277),"Début un jour chômé",IF(AND(N(H277)&gt;0,H277&lt;=SUMPRODUCT(MAX(($I$6:$I276=$I277)*$M$6:$M276))),"Chevauche l'OF précédent",IF(N(F277)=0,"Date de besoin manquante","OK")))))))))))))</f>
        <v/>
      </c>
      <c r="T277" s="65" t="str">
        <f>IF(K277="","",J277/K277)</f>
        <v/>
      </c>
      <c r="U277" s="66" t="str">
        <f>IF(OR(O277="En retard",O277="Juste"),COUNTIF($O$6:O277,"En retard")+COUNTIF($O$6:O277,"Juste"),"")</f>
        <v/>
      </c>
    </row>
    <row r="278">
      <c r="A278" s="53" t="n"/>
      <c r="B278" s="53" t="n"/>
      <c r="C278" s="54" t="str">
        <f>IF(B278="","",IFERROR(INDEX(art_des,MATCH($B278,art_ref,0)),"Référence inconnue"))</f>
        <v/>
      </c>
      <c r="D278" s="55" t="n"/>
      <c r="E278" s="53" t="n"/>
      <c r="F278" s="56" t="n"/>
      <c r="G278" s="57" t="n"/>
      <c r="H278" s="56" t="n"/>
      <c r="I278" s="58" t="str">
        <f>IF(B278="","",IFERROR(INDEX(art_poste,MATCH($B278,art_ref,0))&amp;"",""))</f>
        <v/>
      </c>
      <c r="J278" s="59" t="str">
        <f>IF(OR(B278="",G278="Annulé",N(D278)&lt;=0),"",IFERROR(ROUND(INDEX(art_setup,MATCH($B278,art_ref,0))+D278*INDEX(art_cycle,MATCH($B278,art_ref,0))/60,2),""))</f>
        <v/>
      </c>
      <c r="K278" s="60" t="str">
        <f>IF(J278="","",IFERROR(MAX(1,ROUNDUP(J278/INDEX(po_cap,MATCH(I278,po_code,0)),0)),""))</f>
        <v/>
      </c>
      <c r="L278" s="61">
        <f>IF(K278="",0,IF(N(H278)&gt;0,H278,WORKDAY.INTL(MAX(p_start-1,SUMPRODUCT(MAX(($I$6:$I277=$I278)*$M$6:$M277))),1,p_weekend,p_holidays)))</f>
        <v>0.0</v>
      </c>
      <c r="M278" s="61">
        <f>IF(K278="",0,WORKDAY.INTL(L278,K278-1,p_weekend,p_holidays))</f>
        <v>0.0</v>
      </c>
      <c r="N278" s="62" t="str">
        <f>IF(OR(M278=0,N(F278)=0,G278="Terminé"),"",F278-M278)</f>
        <v/>
      </c>
      <c r="O278" s="58" t="str">
        <f>IF(B278="","",IF(G278="Annulé","Annulé",IF(G278="Terminé","Terminé",IF(M278=0,"À compléter",IF(N(F278)=0,"Sans échéance",IF(M278&gt;F278,"En retard",IF(F278-M278&lt;=p_margin,"Juste","À l'heure")))))))</f>
        <v/>
      </c>
      <c r="P278" s="55" t="n"/>
      <c r="Q278" s="63" t="str">
        <f>IF(OR(B278="",N(D278)&lt;=0),"",MIN(1,N(P278)/D278))</f>
        <v/>
      </c>
      <c r="R278" s="64" t="str">
        <f>IF(OR(J278="",ISNA(MATCH(I278,po_code,0))),"",ROUND(J278*N(INDEX(po_rate,MATCH(I278,po_code,0))),2))</f>
        <v/>
      </c>
      <c r="S278" s="58" t="str">
        <f>IF(AND(A278="",B278=""),"",IF(B278="","Référence manquante",IF(ISNA(MATCH($B278,art_ref,0)),"Référence inconnue",IF(N(D278)&lt;=0,"Quantité invalide",IF(AND(A278&lt;&gt;"",COUNTIF(of_num,A278)&gt;1),"N° OF en double",IF(G278="Annulé","OK",IF(I278="","Poste manquant (gamme)",IF(ISNA(MATCH(I278,po_code,0)),"Poste inconnu",IF(K278="","Capacité du poste nulle",IF(AND(H278&lt;&gt;"",N(H278)=0),"Début imposé invalide",IF(AND(N(H278)&gt;0,WORKDAY.INTL(H278-1,1,p_weekend,p_holidays)&lt;&gt;H278),"Début un jour chômé",IF(AND(N(H278)&gt;0,H278&lt;=SUMPRODUCT(MAX(($I$6:$I277=$I278)*$M$6:$M277))),"Chevauche l'OF précédent",IF(N(F278)=0,"Date de besoin manquante","OK")))))))))))))</f>
        <v/>
      </c>
      <c r="T278" s="65" t="str">
        <f>IF(K278="","",J278/K278)</f>
        <v/>
      </c>
      <c r="U278" s="66" t="str">
        <f>IF(OR(O278="En retard",O278="Juste"),COUNTIF($O$6:O278,"En retard")+COUNTIF($O$6:O278,"Juste"),"")</f>
        <v/>
      </c>
    </row>
    <row r="279">
      <c r="A279" s="53" t="n"/>
      <c r="B279" s="53" t="n"/>
      <c r="C279" s="54" t="str">
        <f>IF(B279="","",IFERROR(INDEX(art_des,MATCH($B279,art_ref,0)),"Référence inconnue"))</f>
        <v/>
      </c>
      <c r="D279" s="55" t="n"/>
      <c r="E279" s="53" t="n"/>
      <c r="F279" s="56" t="n"/>
      <c r="G279" s="57" t="n"/>
      <c r="H279" s="56" t="n"/>
      <c r="I279" s="58" t="str">
        <f>IF(B279="","",IFERROR(INDEX(art_poste,MATCH($B279,art_ref,0))&amp;"",""))</f>
        <v/>
      </c>
      <c r="J279" s="59" t="str">
        <f>IF(OR(B279="",G279="Annulé",N(D279)&lt;=0),"",IFERROR(ROUND(INDEX(art_setup,MATCH($B279,art_ref,0))+D279*INDEX(art_cycle,MATCH($B279,art_ref,0))/60,2),""))</f>
        <v/>
      </c>
      <c r="K279" s="60" t="str">
        <f>IF(J279="","",IFERROR(MAX(1,ROUNDUP(J279/INDEX(po_cap,MATCH(I279,po_code,0)),0)),""))</f>
        <v/>
      </c>
      <c r="L279" s="61">
        <f>IF(K279="",0,IF(N(H279)&gt;0,H279,WORKDAY.INTL(MAX(p_start-1,SUMPRODUCT(MAX(($I$6:$I278=$I279)*$M$6:$M278))),1,p_weekend,p_holidays)))</f>
        <v>0.0</v>
      </c>
      <c r="M279" s="61">
        <f>IF(K279="",0,WORKDAY.INTL(L279,K279-1,p_weekend,p_holidays))</f>
        <v>0.0</v>
      </c>
      <c r="N279" s="62" t="str">
        <f>IF(OR(M279=0,N(F279)=0,G279="Terminé"),"",F279-M279)</f>
        <v/>
      </c>
      <c r="O279" s="58" t="str">
        <f>IF(B279="","",IF(G279="Annulé","Annulé",IF(G279="Terminé","Terminé",IF(M279=0,"À compléter",IF(N(F279)=0,"Sans échéance",IF(M279&gt;F279,"En retard",IF(F279-M279&lt;=p_margin,"Juste","À l'heure")))))))</f>
        <v/>
      </c>
      <c r="P279" s="55" t="n"/>
      <c r="Q279" s="63" t="str">
        <f>IF(OR(B279="",N(D279)&lt;=0),"",MIN(1,N(P279)/D279))</f>
        <v/>
      </c>
      <c r="R279" s="64" t="str">
        <f>IF(OR(J279="",ISNA(MATCH(I279,po_code,0))),"",ROUND(J279*N(INDEX(po_rate,MATCH(I279,po_code,0))),2))</f>
        <v/>
      </c>
      <c r="S279" s="58" t="str">
        <f>IF(AND(A279="",B279=""),"",IF(B279="","Référence manquante",IF(ISNA(MATCH($B279,art_ref,0)),"Référence inconnue",IF(N(D279)&lt;=0,"Quantité invalide",IF(AND(A279&lt;&gt;"",COUNTIF(of_num,A279)&gt;1),"N° OF en double",IF(G279="Annulé","OK",IF(I279="","Poste manquant (gamme)",IF(ISNA(MATCH(I279,po_code,0)),"Poste inconnu",IF(K279="","Capacité du poste nulle",IF(AND(H279&lt;&gt;"",N(H279)=0),"Début imposé invalide",IF(AND(N(H279)&gt;0,WORKDAY.INTL(H279-1,1,p_weekend,p_holidays)&lt;&gt;H279),"Début un jour chômé",IF(AND(N(H279)&gt;0,H279&lt;=SUMPRODUCT(MAX(($I$6:$I278=$I279)*$M$6:$M278))),"Chevauche l'OF précédent",IF(N(F279)=0,"Date de besoin manquante","OK")))))))))))))</f>
        <v/>
      </c>
      <c r="T279" s="65" t="str">
        <f>IF(K279="","",J279/K279)</f>
        <v/>
      </c>
      <c r="U279" s="66" t="str">
        <f>IF(OR(O279="En retard",O279="Juste"),COUNTIF($O$6:O279,"En retard")+COUNTIF($O$6:O279,"Juste"),"")</f>
        <v/>
      </c>
    </row>
    <row r="280">
      <c r="A280" s="53" t="n"/>
      <c r="B280" s="53" t="n"/>
      <c r="C280" s="54" t="str">
        <f>IF(B280="","",IFERROR(INDEX(art_des,MATCH($B280,art_ref,0)),"Référence inconnue"))</f>
        <v/>
      </c>
      <c r="D280" s="55" t="n"/>
      <c r="E280" s="53" t="n"/>
      <c r="F280" s="56" t="n"/>
      <c r="G280" s="57" t="n"/>
      <c r="H280" s="56" t="n"/>
      <c r="I280" s="58" t="str">
        <f>IF(B280="","",IFERROR(INDEX(art_poste,MATCH($B280,art_ref,0))&amp;"",""))</f>
        <v/>
      </c>
      <c r="J280" s="59" t="str">
        <f>IF(OR(B280="",G280="Annulé",N(D280)&lt;=0),"",IFERROR(ROUND(INDEX(art_setup,MATCH($B280,art_ref,0))+D280*INDEX(art_cycle,MATCH($B280,art_ref,0))/60,2),""))</f>
        <v/>
      </c>
      <c r="K280" s="60" t="str">
        <f>IF(J280="","",IFERROR(MAX(1,ROUNDUP(J280/INDEX(po_cap,MATCH(I280,po_code,0)),0)),""))</f>
        <v/>
      </c>
      <c r="L280" s="61">
        <f>IF(K280="",0,IF(N(H280)&gt;0,H280,WORKDAY.INTL(MAX(p_start-1,SUMPRODUCT(MAX(($I$6:$I279=$I280)*$M$6:$M279))),1,p_weekend,p_holidays)))</f>
        <v>0.0</v>
      </c>
      <c r="M280" s="61">
        <f>IF(K280="",0,WORKDAY.INTL(L280,K280-1,p_weekend,p_holidays))</f>
        <v>0.0</v>
      </c>
      <c r="N280" s="62" t="str">
        <f>IF(OR(M280=0,N(F280)=0,G280="Terminé"),"",F280-M280)</f>
        <v/>
      </c>
      <c r="O280" s="58" t="str">
        <f>IF(B280="","",IF(G280="Annulé","Annulé",IF(G280="Terminé","Terminé",IF(M280=0,"À compléter",IF(N(F280)=0,"Sans échéance",IF(M280&gt;F280,"En retard",IF(F280-M280&lt;=p_margin,"Juste","À l'heure")))))))</f>
        <v/>
      </c>
      <c r="P280" s="55" t="n"/>
      <c r="Q280" s="63" t="str">
        <f>IF(OR(B280="",N(D280)&lt;=0),"",MIN(1,N(P280)/D280))</f>
        <v/>
      </c>
      <c r="R280" s="64" t="str">
        <f>IF(OR(J280="",ISNA(MATCH(I280,po_code,0))),"",ROUND(J280*N(INDEX(po_rate,MATCH(I280,po_code,0))),2))</f>
        <v/>
      </c>
      <c r="S280" s="58" t="str">
        <f>IF(AND(A280="",B280=""),"",IF(B280="","Référence manquante",IF(ISNA(MATCH($B280,art_ref,0)),"Référence inconnue",IF(N(D280)&lt;=0,"Quantité invalide",IF(AND(A280&lt;&gt;"",COUNTIF(of_num,A280)&gt;1),"N° OF en double",IF(G280="Annulé","OK",IF(I280="","Poste manquant (gamme)",IF(ISNA(MATCH(I280,po_code,0)),"Poste inconnu",IF(K280="","Capacité du poste nulle",IF(AND(H280&lt;&gt;"",N(H280)=0),"Début imposé invalide",IF(AND(N(H280)&gt;0,WORKDAY.INTL(H280-1,1,p_weekend,p_holidays)&lt;&gt;H280),"Début un jour chômé",IF(AND(N(H280)&gt;0,H280&lt;=SUMPRODUCT(MAX(($I$6:$I279=$I280)*$M$6:$M279))),"Chevauche l'OF précédent",IF(N(F280)=0,"Date de besoin manquante","OK")))))))))))))</f>
        <v/>
      </c>
      <c r="T280" s="65" t="str">
        <f>IF(K280="","",J280/K280)</f>
        <v/>
      </c>
      <c r="U280" s="66" t="str">
        <f>IF(OR(O280="En retard",O280="Juste"),COUNTIF($O$6:O280,"En retard")+COUNTIF($O$6:O280,"Juste"),"")</f>
        <v/>
      </c>
    </row>
    <row r="281">
      <c r="A281" s="53" t="n"/>
      <c r="B281" s="53" t="n"/>
      <c r="C281" s="54" t="str">
        <f>IF(B281="","",IFERROR(INDEX(art_des,MATCH($B281,art_ref,0)),"Référence inconnue"))</f>
        <v/>
      </c>
      <c r="D281" s="55" t="n"/>
      <c r="E281" s="53" t="n"/>
      <c r="F281" s="56" t="n"/>
      <c r="G281" s="57" t="n"/>
      <c r="H281" s="56" t="n"/>
      <c r="I281" s="58" t="str">
        <f>IF(B281="","",IFERROR(INDEX(art_poste,MATCH($B281,art_ref,0))&amp;"",""))</f>
        <v/>
      </c>
      <c r="J281" s="59" t="str">
        <f>IF(OR(B281="",G281="Annulé",N(D281)&lt;=0),"",IFERROR(ROUND(INDEX(art_setup,MATCH($B281,art_ref,0))+D281*INDEX(art_cycle,MATCH($B281,art_ref,0))/60,2),""))</f>
        <v/>
      </c>
      <c r="K281" s="60" t="str">
        <f>IF(J281="","",IFERROR(MAX(1,ROUNDUP(J281/INDEX(po_cap,MATCH(I281,po_code,0)),0)),""))</f>
        <v/>
      </c>
      <c r="L281" s="61">
        <f>IF(K281="",0,IF(N(H281)&gt;0,H281,WORKDAY.INTL(MAX(p_start-1,SUMPRODUCT(MAX(($I$6:$I280=$I281)*$M$6:$M280))),1,p_weekend,p_holidays)))</f>
        <v>0.0</v>
      </c>
      <c r="M281" s="61">
        <f>IF(K281="",0,WORKDAY.INTL(L281,K281-1,p_weekend,p_holidays))</f>
        <v>0.0</v>
      </c>
      <c r="N281" s="62" t="str">
        <f>IF(OR(M281=0,N(F281)=0,G281="Terminé"),"",F281-M281)</f>
        <v/>
      </c>
      <c r="O281" s="58" t="str">
        <f>IF(B281="","",IF(G281="Annulé","Annulé",IF(G281="Terminé","Terminé",IF(M281=0,"À compléter",IF(N(F281)=0,"Sans échéance",IF(M281&gt;F281,"En retard",IF(F281-M281&lt;=p_margin,"Juste","À l'heure")))))))</f>
        <v/>
      </c>
      <c r="P281" s="55" t="n"/>
      <c r="Q281" s="63" t="str">
        <f>IF(OR(B281="",N(D281)&lt;=0),"",MIN(1,N(P281)/D281))</f>
        <v/>
      </c>
      <c r="R281" s="64" t="str">
        <f>IF(OR(J281="",ISNA(MATCH(I281,po_code,0))),"",ROUND(J281*N(INDEX(po_rate,MATCH(I281,po_code,0))),2))</f>
        <v/>
      </c>
      <c r="S281" s="58" t="str">
        <f>IF(AND(A281="",B281=""),"",IF(B281="","Référence manquante",IF(ISNA(MATCH($B281,art_ref,0)),"Référence inconnue",IF(N(D281)&lt;=0,"Quantité invalide",IF(AND(A281&lt;&gt;"",COUNTIF(of_num,A281)&gt;1),"N° OF en double",IF(G281="Annulé","OK",IF(I281="","Poste manquant (gamme)",IF(ISNA(MATCH(I281,po_code,0)),"Poste inconnu",IF(K281="","Capacité du poste nulle",IF(AND(H281&lt;&gt;"",N(H281)=0),"Début imposé invalide",IF(AND(N(H281)&gt;0,WORKDAY.INTL(H281-1,1,p_weekend,p_holidays)&lt;&gt;H281),"Début un jour chômé",IF(AND(N(H281)&gt;0,H281&lt;=SUMPRODUCT(MAX(($I$6:$I280=$I281)*$M$6:$M280))),"Chevauche l'OF précédent",IF(N(F281)=0,"Date de besoin manquante","OK")))))))))))))</f>
        <v/>
      </c>
      <c r="T281" s="65" t="str">
        <f>IF(K281="","",J281/K281)</f>
        <v/>
      </c>
      <c r="U281" s="66" t="str">
        <f>IF(OR(O281="En retard",O281="Juste"),COUNTIF($O$6:O281,"En retard")+COUNTIF($O$6:O281,"Juste"),"")</f>
        <v/>
      </c>
    </row>
    <row r="282">
      <c r="A282" s="53" t="n"/>
      <c r="B282" s="53" t="n"/>
      <c r="C282" s="54" t="str">
        <f>IF(B282="","",IFERROR(INDEX(art_des,MATCH($B282,art_ref,0)),"Référence inconnue"))</f>
        <v/>
      </c>
      <c r="D282" s="55" t="n"/>
      <c r="E282" s="53" t="n"/>
      <c r="F282" s="56" t="n"/>
      <c r="G282" s="57" t="n"/>
      <c r="H282" s="56" t="n"/>
      <c r="I282" s="58" t="str">
        <f>IF(B282="","",IFERROR(INDEX(art_poste,MATCH($B282,art_ref,0))&amp;"",""))</f>
        <v/>
      </c>
      <c r="J282" s="59" t="str">
        <f>IF(OR(B282="",G282="Annulé",N(D282)&lt;=0),"",IFERROR(ROUND(INDEX(art_setup,MATCH($B282,art_ref,0))+D282*INDEX(art_cycle,MATCH($B282,art_ref,0))/60,2),""))</f>
        <v/>
      </c>
      <c r="K282" s="60" t="str">
        <f>IF(J282="","",IFERROR(MAX(1,ROUNDUP(J282/INDEX(po_cap,MATCH(I282,po_code,0)),0)),""))</f>
        <v/>
      </c>
      <c r="L282" s="61">
        <f>IF(K282="",0,IF(N(H282)&gt;0,H282,WORKDAY.INTL(MAX(p_start-1,SUMPRODUCT(MAX(($I$6:$I281=$I282)*$M$6:$M281))),1,p_weekend,p_holidays)))</f>
        <v>0.0</v>
      </c>
      <c r="M282" s="61">
        <f>IF(K282="",0,WORKDAY.INTL(L282,K282-1,p_weekend,p_holidays))</f>
        <v>0.0</v>
      </c>
      <c r="N282" s="62" t="str">
        <f>IF(OR(M282=0,N(F282)=0,G282="Terminé"),"",F282-M282)</f>
        <v/>
      </c>
      <c r="O282" s="58" t="str">
        <f>IF(B282="","",IF(G282="Annulé","Annulé",IF(G282="Terminé","Terminé",IF(M282=0,"À compléter",IF(N(F282)=0,"Sans échéance",IF(M282&gt;F282,"En retard",IF(F282-M282&lt;=p_margin,"Juste","À l'heure")))))))</f>
        <v/>
      </c>
      <c r="P282" s="55" t="n"/>
      <c r="Q282" s="63" t="str">
        <f>IF(OR(B282="",N(D282)&lt;=0),"",MIN(1,N(P282)/D282))</f>
        <v/>
      </c>
      <c r="R282" s="64" t="str">
        <f>IF(OR(J282="",ISNA(MATCH(I282,po_code,0))),"",ROUND(J282*N(INDEX(po_rate,MATCH(I282,po_code,0))),2))</f>
        <v/>
      </c>
      <c r="S282" s="58" t="str">
        <f>IF(AND(A282="",B282=""),"",IF(B282="","Référence manquante",IF(ISNA(MATCH($B282,art_ref,0)),"Référence inconnue",IF(N(D282)&lt;=0,"Quantité invalide",IF(AND(A282&lt;&gt;"",COUNTIF(of_num,A282)&gt;1),"N° OF en double",IF(G282="Annulé","OK",IF(I282="","Poste manquant (gamme)",IF(ISNA(MATCH(I282,po_code,0)),"Poste inconnu",IF(K282="","Capacité du poste nulle",IF(AND(H282&lt;&gt;"",N(H282)=0),"Début imposé invalide",IF(AND(N(H282)&gt;0,WORKDAY.INTL(H282-1,1,p_weekend,p_holidays)&lt;&gt;H282),"Début un jour chômé",IF(AND(N(H282)&gt;0,H282&lt;=SUMPRODUCT(MAX(($I$6:$I281=$I282)*$M$6:$M281))),"Chevauche l'OF précédent",IF(N(F282)=0,"Date de besoin manquante","OK")))))))))))))</f>
        <v/>
      </c>
      <c r="T282" s="65" t="str">
        <f>IF(K282="","",J282/K282)</f>
        <v/>
      </c>
      <c r="U282" s="66" t="str">
        <f>IF(OR(O282="En retard",O282="Juste"),COUNTIF($O$6:O282,"En retard")+COUNTIF($O$6:O282,"Juste"),"")</f>
        <v/>
      </c>
    </row>
    <row r="283">
      <c r="A283" s="53" t="n"/>
      <c r="B283" s="53" t="n"/>
      <c r="C283" s="54" t="str">
        <f>IF(B283="","",IFERROR(INDEX(art_des,MATCH($B283,art_ref,0)),"Référence inconnue"))</f>
        <v/>
      </c>
      <c r="D283" s="55" t="n"/>
      <c r="E283" s="53" t="n"/>
      <c r="F283" s="56" t="n"/>
      <c r="G283" s="57" t="n"/>
      <c r="H283" s="56" t="n"/>
      <c r="I283" s="58" t="str">
        <f>IF(B283="","",IFERROR(INDEX(art_poste,MATCH($B283,art_ref,0))&amp;"",""))</f>
        <v/>
      </c>
      <c r="J283" s="59" t="str">
        <f>IF(OR(B283="",G283="Annulé",N(D283)&lt;=0),"",IFERROR(ROUND(INDEX(art_setup,MATCH($B283,art_ref,0))+D283*INDEX(art_cycle,MATCH($B283,art_ref,0))/60,2),""))</f>
        <v/>
      </c>
      <c r="K283" s="60" t="str">
        <f>IF(J283="","",IFERROR(MAX(1,ROUNDUP(J283/INDEX(po_cap,MATCH(I283,po_code,0)),0)),""))</f>
        <v/>
      </c>
      <c r="L283" s="61">
        <f>IF(K283="",0,IF(N(H283)&gt;0,H283,WORKDAY.INTL(MAX(p_start-1,SUMPRODUCT(MAX(($I$6:$I282=$I283)*$M$6:$M282))),1,p_weekend,p_holidays)))</f>
        <v>0.0</v>
      </c>
      <c r="M283" s="61">
        <f>IF(K283="",0,WORKDAY.INTL(L283,K283-1,p_weekend,p_holidays))</f>
        <v>0.0</v>
      </c>
      <c r="N283" s="62" t="str">
        <f>IF(OR(M283=0,N(F283)=0,G283="Terminé"),"",F283-M283)</f>
        <v/>
      </c>
      <c r="O283" s="58" t="str">
        <f>IF(B283="","",IF(G283="Annulé","Annulé",IF(G283="Terminé","Terminé",IF(M283=0,"À compléter",IF(N(F283)=0,"Sans échéance",IF(M283&gt;F283,"En retard",IF(F283-M283&lt;=p_margin,"Juste","À l'heure")))))))</f>
        <v/>
      </c>
      <c r="P283" s="55" t="n"/>
      <c r="Q283" s="63" t="str">
        <f>IF(OR(B283="",N(D283)&lt;=0),"",MIN(1,N(P283)/D283))</f>
        <v/>
      </c>
      <c r="R283" s="64" t="str">
        <f>IF(OR(J283="",ISNA(MATCH(I283,po_code,0))),"",ROUND(J283*N(INDEX(po_rate,MATCH(I283,po_code,0))),2))</f>
        <v/>
      </c>
      <c r="S283" s="58" t="str">
        <f>IF(AND(A283="",B283=""),"",IF(B283="","Référence manquante",IF(ISNA(MATCH($B283,art_ref,0)),"Référence inconnue",IF(N(D283)&lt;=0,"Quantité invalide",IF(AND(A283&lt;&gt;"",COUNTIF(of_num,A283)&gt;1),"N° OF en double",IF(G283="Annulé","OK",IF(I283="","Poste manquant (gamme)",IF(ISNA(MATCH(I283,po_code,0)),"Poste inconnu",IF(K283="","Capacité du poste nulle",IF(AND(H283&lt;&gt;"",N(H283)=0),"Début imposé invalide",IF(AND(N(H283)&gt;0,WORKDAY.INTL(H283-1,1,p_weekend,p_holidays)&lt;&gt;H283),"Début un jour chômé",IF(AND(N(H283)&gt;0,H283&lt;=SUMPRODUCT(MAX(($I$6:$I282=$I283)*$M$6:$M282))),"Chevauche l'OF précédent",IF(N(F283)=0,"Date de besoin manquante","OK")))))))))))))</f>
        <v/>
      </c>
      <c r="T283" s="65" t="str">
        <f>IF(K283="","",J283/K283)</f>
        <v/>
      </c>
      <c r="U283" s="66" t="str">
        <f>IF(OR(O283="En retard",O283="Juste"),COUNTIF($O$6:O283,"En retard")+COUNTIF($O$6:O283,"Juste"),"")</f>
        <v/>
      </c>
    </row>
    <row r="284">
      <c r="A284" s="53" t="n"/>
      <c r="B284" s="53" t="n"/>
      <c r="C284" s="54" t="str">
        <f>IF(B284="","",IFERROR(INDEX(art_des,MATCH($B284,art_ref,0)),"Référence inconnue"))</f>
        <v/>
      </c>
      <c r="D284" s="55" t="n"/>
      <c r="E284" s="53" t="n"/>
      <c r="F284" s="56" t="n"/>
      <c r="G284" s="57" t="n"/>
      <c r="H284" s="56" t="n"/>
      <c r="I284" s="58" t="str">
        <f>IF(B284="","",IFERROR(INDEX(art_poste,MATCH($B284,art_ref,0))&amp;"",""))</f>
        <v/>
      </c>
      <c r="J284" s="59" t="str">
        <f>IF(OR(B284="",G284="Annulé",N(D284)&lt;=0),"",IFERROR(ROUND(INDEX(art_setup,MATCH($B284,art_ref,0))+D284*INDEX(art_cycle,MATCH($B284,art_ref,0))/60,2),""))</f>
        <v/>
      </c>
      <c r="K284" s="60" t="str">
        <f>IF(J284="","",IFERROR(MAX(1,ROUNDUP(J284/INDEX(po_cap,MATCH(I284,po_code,0)),0)),""))</f>
        <v/>
      </c>
      <c r="L284" s="61">
        <f>IF(K284="",0,IF(N(H284)&gt;0,H284,WORKDAY.INTL(MAX(p_start-1,SUMPRODUCT(MAX(($I$6:$I283=$I284)*$M$6:$M283))),1,p_weekend,p_holidays)))</f>
        <v>0.0</v>
      </c>
      <c r="M284" s="61">
        <f>IF(K284="",0,WORKDAY.INTL(L284,K284-1,p_weekend,p_holidays))</f>
        <v>0.0</v>
      </c>
      <c r="N284" s="62" t="str">
        <f>IF(OR(M284=0,N(F284)=0,G284="Terminé"),"",F284-M284)</f>
        <v/>
      </c>
      <c r="O284" s="58" t="str">
        <f>IF(B284="","",IF(G284="Annulé","Annulé",IF(G284="Terminé","Terminé",IF(M284=0,"À compléter",IF(N(F284)=0,"Sans échéance",IF(M284&gt;F284,"En retard",IF(F284-M284&lt;=p_margin,"Juste","À l'heure")))))))</f>
        <v/>
      </c>
      <c r="P284" s="55" t="n"/>
      <c r="Q284" s="63" t="str">
        <f>IF(OR(B284="",N(D284)&lt;=0),"",MIN(1,N(P284)/D284))</f>
        <v/>
      </c>
      <c r="R284" s="64" t="str">
        <f>IF(OR(J284="",ISNA(MATCH(I284,po_code,0))),"",ROUND(J284*N(INDEX(po_rate,MATCH(I284,po_code,0))),2))</f>
        <v/>
      </c>
      <c r="S284" s="58" t="str">
        <f>IF(AND(A284="",B284=""),"",IF(B284="","Référence manquante",IF(ISNA(MATCH($B284,art_ref,0)),"Référence inconnue",IF(N(D284)&lt;=0,"Quantité invalide",IF(AND(A284&lt;&gt;"",COUNTIF(of_num,A284)&gt;1),"N° OF en double",IF(G284="Annulé","OK",IF(I284="","Poste manquant (gamme)",IF(ISNA(MATCH(I284,po_code,0)),"Poste inconnu",IF(K284="","Capacité du poste nulle",IF(AND(H284&lt;&gt;"",N(H284)=0),"Début imposé invalide",IF(AND(N(H284)&gt;0,WORKDAY.INTL(H284-1,1,p_weekend,p_holidays)&lt;&gt;H284),"Début un jour chômé",IF(AND(N(H284)&gt;0,H284&lt;=SUMPRODUCT(MAX(($I$6:$I283=$I284)*$M$6:$M283))),"Chevauche l'OF précédent",IF(N(F284)=0,"Date de besoin manquante","OK")))))))))))))</f>
        <v/>
      </c>
      <c r="T284" s="65" t="str">
        <f>IF(K284="","",J284/K284)</f>
        <v/>
      </c>
      <c r="U284" s="66" t="str">
        <f>IF(OR(O284="En retard",O284="Juste"),COUNTIF($O$6:O284,"En retard")+COUNTIF($O$6:O284,"Juste"),"")</f>
        <v/>
      </c>
    </row>
    <row r="285">
      <c r="A285" s="53" t="n"/>
      <c r="B285" s="53" t="n"/>
      <c r="C285" s="54" t="str">
        <f>IF(B285="","",IFERROR(INDEX(art_des,MATCH($B285,art_ref,0)),"Référence inconnue"))</f>
        <v/>
      </c>
      <c r="D285" s="55" t="n"/>
      <c r="E285" s="53" t="n"/>
      <c r="F285" s="56" t="n"/>
      <c r="G285" s="57" t="n"/>
      <c r="H285" s="56" t="n"/>
      <c r="I285" s="58" t="str">
        <f>IF(B285="","",IFERROR(INDEX(art_poste,MATCH($B285,art_ref,0))&amp;"",""))</f>
        <v/>
      </c>
      <c r="J285" s="59" t="str">
        <f>IF(OR(B285="",G285="Annulé",N(D285)&lt;=0),"",IFERROR(ROUND(INDEX(art_setup,MATCH($B285,art_ref,0))+D285*INDEX(art_cycle,MATCH($B285,art_ref,0))/60,2),""))</f>
        <v/>
      </c>
      <c r="K285" s="60" t="str">
        <f>IF(J285="","",IFERROR(MAX(1,ROUNDUP(J285/INDEX(po_cap,MATCH(I285,po_code,0)),0)),""))</f>
        <v/>
      </c>
      <c r="L285" s="61">
        <f>IF(K285="",0,IF(N(H285)&gt;0,H285,WORKDAY.INTL(MAX(p_start-1,SUMPRODUCT(MAX(($I$6:$I284=$I285)*$M$6:$M284))),1,p_weekend,p_holidays)))</f>
        <v>0.0</v>
      </c>
      <c r="M285" s="61">
        <f>IF(K285="",0,WORKDAY.INTL(L285,K285-1,p_weekend,p_holidays))</f>
        <v>0.0</v>
      </c>
      <c r="N285" s="62" t="str">
        <f>IF(OR(M285=0,N(F285)=0,G285="Terminé"),"",F285-M285)</f>
        <v/>
      </c>
      <c r="O285" s="58" t="str">
        <f>IF(B285="","",IF(G285="Annulé","Annulé",IF(G285="Terminé","Terminé",IF(M285=0,"À compléter",IF(N(F285)=0,"Sans échéance",IF(M285&gt;F285,"En retard",IF(F285-M285&lt;=p_margin,"Juste","À l'heure")))))))</f>
        <v/>
      </c>
      <c r="P285" s="55" t="n"/>
      <c r="Q285" s="63" t="str">
        <f>IF(OR(B285="",N(D285)&lt;=0),"",MIN(1,N(P285)/D285))</f>
        <v/>
      </c>
      <c r="R285" s="64" t="str">
        <f>IF(OR(J285="",ISNA(MATCH(I285,po_code,0))),"",ROUND(J285*N(INDEX(po_rate,MATCH(I285,po_code,0))),2))</f>
        <v/>
      </c>
      <c r="S285" s="58" t="str">
        <f>IF(AND(A285="",B285=""),"",IF(B285="","Référence manquante",IF(ISNA(MATCH($B285,art_ref,0)),"Référence inconnue",IF(N(D285)&lt;=0,"Quantité invalide",IF(AND(A285&lt;&gt;"",COUNTIF(of_num,A285)&gt;1),"N° OF en double",IF(G285="Annulé","OK",IF(I285="","Poste manquant (gamme)",IF(ISNA(MATCH(I285,po_code,0)),"Poste inconnu",IF(K285="","Capacité du poste nulle",IF(AND(H285&lt;&gt;"",N(H285)=0),"Début imposé invalide",IF(AND(N(H285)&gt;0,WORKDAY.INTL(H285-1,1,p_weekend,p_holidays)&lt;&gt;H285),"Début un jour chômé",IF(AND(N(H285)&gt;0,H285&lt;=SUMPRODUCT(MAX(($I$6:$I284=$I285)*$M$6:$M284))),"Chevauche l'OF précédent",IF(N(F285)=0,"Date de besoin manquante","OK")))))))))))))</f>
        <v/>
      </c>
      <c r="T285" s="65" t="str">
        <f>IF(K285="","",J285/K285)</f>
        <v/>
      </c>
      <c r="U285" s="66" t="str">
        <f>IF(OR(O285="En retard",O285="Juste"),COUNTIF($O$6:O285,"En retard")+COUNTIF($O$6:O285,"Juste"),"")</f>
        <v/>
      </c>
    </row>
    <row r="286">
      <c r="A286" s="53" t="n"/>
      <c r="B286" s="53" t="n"/>
      <c r="C286" s="54" t="str">
        <f>IF(B286="","",IFERROR(INDEX(art_des,MATCH($B286,art_ref,0)),"Référence inconnue"))</f>
        <v/>
      </c>
      <c r="D286" s="55" t="n"/>
      <c r="E286" s="53" t="n"/>
      <c r="F286" s="56" t="n"/>
      <c r="G286" s="57" t="n"/>
      <c r="H286" s="56" t="n"/>
      <c r="I286" s="58" t="str">
        <f>IF(B286="","",IFERROR(INDEX(art_poste,MATCH($B286,art_ref,0))&amp;"",""))</f>
        <v/>
      </c>
      <c r="J286" s="59" t="str">
        <f>IF(OR(B286="",G286="Annulé",N(D286)&lt;=0),"",IFERROR(ROUND(INDEX(art_setup,MATCH($B286,art_ref,0))+D286*INDEX(art_cycle,MATCH($B286,art_ref,0))/60,2),""))</f>
        <v/>
      </c>
      <c r="K286" s="60" t="str">
        <f>IF(J286="","",IFERROR(MAX(1,ROUNDUP(J286/INDEX(po_cap,MATCH(I286,po_code,0)),0)),""))</f>
        <v/>
      </c>
      <c r="L286" s="61">
        <f>IF(K286="",0,IF(N(H286)&gt;0,H286,WORKDAY.INTL(MAX(p_start-1,SUMPRODUCT(MAX(($I$6:$I285=$I286)*$M$6:$M285))),1,p_weekend,p_holidays)))</f>
        <v>0.0</v>
      </c>
      <c r="M286" s="61">
        <f>IF(K286="",0,WORKDAY.INTL(L286,K286-1,p_weekend,p_holidays))</f>
        <v>0.0</v>
      </c>
      <c r="N286" s="62" t="str">
        <f>IF(OR(M286=0,N(F286)=0,G286="Terminé"),"",F286-M286)</f>
        <v/>
      </c>
      <c r="O286" s="58" t="str">
        <f>IF(B286="","",IF(G286="Annulé","Annulé",IF(G286="Terminé","Terminé",IF(M286=0,"À compléter",IF(N(F286)=0,"Sans échéance",IF(M286&gt;F286,"En retard",IF(F286-M286&lt;=p_margin,"Juste","À l'heure")))))))</f>
        <v/>
      </c>
      <c r="P286" s="55" t="n"/>
      <c r="Q286" s="63" t="str">
        <f>IF(OR(B286="",N(D286)&lt;=0),"",MIN(1,N(P286)/D286))</f>
        <v/>
      </c>
      <c r="R286" s="64" t="str">
        <f>IF(OR(J286="",ISNA(MATCH(I286,po_code,0))),"",ROUND(J286*N(INDEX(po_rate,MATCH(I286,po_code,0))),2))</f>
        <v/>
      </c>
      <c r="S286" s="58" t="str">
        <f>IF(AND(A286="",B286=""),"",IF(B286="","Référence manquante",IF(ISNA(MATCH($B286,art_ref,0)),"Référence inconnue",IF(N(D286)&lt;=0,"Quantité invalide",IF(AND(A286&lt;&gt;"",COUNTIF(of_num,A286)&gt;1),"N° OF en double",IF(G286="Annulé","OK",IF(I286="","Poste manquant (gamme)",IF(ISNA(MATCH(I286,po_code,0)),"Poste inconnu",IF(K286="","Capacité du poste nulle",IF(AND(H286&lt;&gt;"",N(H286)=0),"Début imposé invalide",IF(AND(N(H286)&gt;0,WORKDAY.INTL(H286-1,1,p_weekend,p_holidays)&lt;&gt;H286),"Début un jour chômé",IF(AND(N(H286)&gt;0,H286&lt;=SUMPRODUCT(MAX(($I$6:$I285=$I286)*$M$6:$M285))),"Chevauche l'OF précédent",IF(N(F286)=0,"Date de besoin manquante","OK")))))))))))))</f>
        <v/>
      </c>
      <c r="T286" s="65" t="str">
        <f>IF(K286="","",J286/K286)</f>
        <v/>
      </c>
      <c r="U286" s="66" t="str">
        <f>IF(OR(O286="En retard",O286="Juste"),COUNTIF($O$6:O286,"En retard")+COUNTIF($O$6:O286,"Juste"),"")</f>
        <v/>
      </c>
    </row>
    <row r="287">
      <c r="A287" s="53" t="n"/>
      <c r="B287" s="53" t="n"/>
      <c r="C287" s="54" t="str">
        <f>IF(B287="","",IFERROR(INDEX(art_des,MATCH($B287,art_ref,0)),"Référence inconnue"))</f>
        <v/>
      </c>
      <c r="D287" s="55" t="n"/>
      <c r="E287" s="53" t="n"/>
      <c r="F287" s="56" t="n"/>
      <c r="G287" s="57" t="n"/>
      <c r="H287" s="56" t="n"/>
      <c r="I287" s="58" t="str">
        <f>IF(B287="","",IFERROR(INDEX(art_poste,MATCH($B287,art_ref,0))&amp;"",""))</f>
        <v/>
      </c>
      <c r="J287" s="59" t="str">
        <f>IF(OR(B287="",G287="Annulé",N(D287)&lt;=0),"",IFERROR(ROUND(INDEX(art_setup,MATCH($B287,art_ref,0))+D287*INDEX(art_cycle,MATCH($B287,art_ref,0))/60,2),""))</f>
        <v/>
      </c>
      <c r="K287" s="60" t="str">
        <f>IF(J287="","",IFERROR(MAX(1,ROUNDUP(J287/INDEX(po_cap,MATCH(I287,po_code,0)),0)),""))</f>
        <v/>
      </c>
      <c r="L287" s="61">
        <f>IF(K287="",0,IF(N(H287)&gt;0,H287,WORKDAY.INTL(MAX(p_start-1,SUMPRODUCT(MAX(($I$6:$I286=$I287)*$M$6:$M286))),1,p_weekend,p_holidays)))</f>
        <v>0.0</v>
      </c>
      <c r="M287" s="61">
        <f>IF(K287="",0,WORKDAY.INTL(L287,K287-1,p_weekend,p_holidays))</f>
        <v>0.0</v>
      </c>
      <c r="N287" s="62" t="str">
        <f>IF(OR(M287=0,N(F287)=0,G287="Terminé"),"",F287-M287)</f>
        <v/>
      </c>
      <c r="O287" s="58" t="str">
        <f>IF(B287="","",IF(G287="Annulé","Annulé",IF(G287="Terminé","Terminé",IF(M287=0,"À compléter",IF(N(F287)=0,"Sans échéance",IF(M287&gt;F287,"En retard",IF(F287-M287&lt;=p_margin,"Juste","À l'heure")))))))</f>
        <v/>
      </c>
      <c r="P287" s="55" t="n"/>
      <c r="Q287" s="63" t="str">
        <f>IF(OR(B287="",N(D287)&lt;=0),"",MIN(1,N(P287)/D287))</f>
        <v/>
      </c>
      <c r="R287" s="64" t="str">
        <f>IF(OR(J287="",ISNA(MATCH(I287,po_code,0))),"",ROUND(J287*N(INDEX(po_rate,MATCH(I287,po_code,0))),2))</f>
        <v/>
      </c>
      <c r="S287" s="58" t="str">
        <f>IF(AND(A287="",B287=""),"",IF(B287="","Référence manquante",IF(ISNA(MATCH($B287,art_ref,0)),"Référence inconnue",IF(N(D287)&lt;=0,"Quantité invalide",IF(AND(A287&lt;&gt;"",COUNTIF(of_num,A287)&gt;1),"N° OF en double",IF(G287="Annulé","OK",IF(I287="","Poste manquant (gamme)",IF(ISNA(MATCH(I287,po_code,0)),"Poste inconnu",IF(K287="","Capacité du poste nulle",IF(AND(H287&lt;&gt;"",N(H287)=0),"Début imposé invalide",IF(AND(N(H287)&gt;0,WORKDAY.INTL(H287-1,1,p_weekend,p_holidays)&lt;&gt;H287),"Début un jour chômé",IF(AND(N(H287)&gt;0,H287&lt;=SUMPRODUCT(MAX(($I$6:$I286=$I287)*$M$6:$M286))),"Chevauche l'OF précédent",IF(N(F287)=0,"Date de besoin manquante","OK")))))))))))))</f>
        <v/>
      </c>
      <c r="T287" s="65" t="str">
        <f>IF(K287="","",J287/K287)</f>
        <v/>
      </c>
      <c r="U287" s="66" t="str">
        <f>IF(OR(O287="En retard",O287="Juste"),COUNTIF($O$6:O287,"En retard")+COUNTIF($O$6:O287,"Juste"),"")</f>
        <v/>
      </c>
    </row>
    <row r="288">
      <c r="A288" s="53" t="n"/>
      <c r="B288" s="53" t="n"/>
      <c r="C288" s="54" t="str">
        <f>IF(B288="","",IFERROR(INDEX(art_des,MATCH($B288,art_ref,0)),"Référence inconnue"))</f>
        <v/>
      </c>
      <c r="D288" s="55" t="n"/>
      <c r="E288" s="53" t="n"/>
      <c r="F288" s="56" t="n"/>
      <c r="G288" s="57" t="n"/>
      <c r="H288" s="56" t="n"/>
      <c r="I288" s="58" t="str">
        <f>IF(B288="","",IFERROR(INDEX(art_poste,MATCH($B288,art_ref,0))&amp;"",""))</f>
        <v/>
      </c>
      <c r="J288" s="59" t="str">
        <f>IF(OR(B288="",G288="Annulé",N(D288)&lt;=0),"",IFERROR(ROUND(INDEX(art_setup,MATCH($B288,art_ref,0))+D288*INDEX(art_cycle,MATCH($B288,art_ref,0))/60,2),""))</f>
        <v/>
      </c>
      <c r="K288" s="60" t="str">
        <f>IF(J288="","",IFERROR(MAX(1,ROUNDUP(J288/INDEX(po_cap,MATCH(I288,po_code,0)),0)),""))</f>
        <v/>
      </c>
      <c r="L288" s="61">
        <f>IF(K288="",0,IF(N(H288)&gt;0,H288,WORKDAY.INTL(MAX(p_start-1,SUMPRODUCT(MAX(($I$6:$I287=$I288)*$M$6:$M287))),1,p_weekend,p_holidays)))</f>
        <v>0.0</v>
      </c>
      <c r="M288" s="61">
        <f>IF(K288="",0,WORKDAY.INTL(L288,K288-1,p_weekend,p_holidays))</f>
        <v>0.0</v>
      </c>
      <c r="N288" s="62" t="str">
        <f>IF(OR(M288=0,N(F288)=0,G288="Terminé"),"",F288-M288)</f>
        <v/>
      </c>
      <c r="O288" s="58" t="str">
        <f>IF(B288="","",IF(G288="Annulé","Annulé",IF(G288="Terminé","Terminé",IF(M288=0,"À compléter",IF(N(F288)=0,"Sans échéance",IF(M288&gt;F288,"En retard",IF(F288-M288&lt;=p_margin,"Juste","À l'heure")))))))</f>
        <v/>
      </c>
      <c r="P288" s="55" t="n"/>
      <c r="Q288" s="63" t="str">
        <f>IF(OR(B288="",N(D288)&lt;=0),"",MIN(1,N(P288)/D288))</f>
        <v/>
      </c>
      <c r="R288" s="64" t="str">
        <f>IF(OR(J288="",ISNA(MATCH(I288,po_code,0))),"",ROUND(J288*N(INDEX(po_rate,MATCH(I288,po_code,0))),2))</f>
        <v/>
      </c>
      <c r="S288" s="58" t="str">
        <f>IF(AND(A288="",B288=""),"",IF(B288="","Référence manquante",IF(ISNA(MATCH($B288,art_ref,0)),"Référence inconnue",IF(N(D288)&lt;=0,"Quantité invalide",IF(AND(A288&lt;&gt;"",COUNTIF(of_num,A288)&gt;1),"N° OF en double",IF(G288="Annulé","OK",IF(I288="","Poste manquant (gamme)",IF(ISNA(MATCH(I288,po_code,0)),"Poste inconnu",IF(K288="","Capacité du poste nulle",IF(AND(H288&lt;&gt;"",N(H288)=0),"Début imposé invalide",IF(AND(N(H288)&gt;0,WORKDAY.INTL(H288-1,1,p_weekend,p_holidays)&lt;&gt;H288),"Début un jour chômé",IF(AND(N(H288)&gt;0,H288&lt;=SUMPRODUCT(MAX(($I$6:$I287=$I288)*$M$6:$M287))),"Chevauche l'OF précédent",IF(N(F288)=0,"Date de besoin manquante","OK")))))))))))))</f>
        <v/>
      </c>
      <c r="T288" s="65" t="str">
        <f>IF(K288="","",J288/K288)</f>
        <v/>
      </c>
      <c r="U288" s="66" t="str">
        <f>IF(OR(O288="En retard",O288="Juste"),COUNTIF($O$6:O288,"En retard")+COUNTIF($O$6:O288,"Juste"),"")</f>
        <v/>
      </c>
    </row>
    <row r="289">
      <c r="A289" s="53" t="n"/>
      <c r="B289" s="53" t="n"/>
      <c r="C289" s="54" t="str">
        <f>IF(B289="","",IFERROR(INDEX(art_des,MATCH($B289,art_ref,0)),"Référence inconnue"))</f>
        <v/>
      </c>
      <c r="D289" s="55" t="n"/>
      <c r="E289" s="53" t="n"/>
      <c r="F289" s="56" t="n"/>
      <c r="G289" s="57" t="n"/>
      <c r="H289" s="56" t="n"/>
      <c r="I289" s="58" t="str">
        <f>IF(B289="","",IFERROR(INDEX(art_poste,MATCH($B289,art_ref,0))&amp;"",""))</f>
        <v/>
      </c>
      <c r="J289" s="59" t="str">
        <f>IF(OR(B289="",G289="Annulé",N(D289)&lt;=0),"",IFERROR(ROUND(INDEX(art_setup,MATCH($B289,art_ref,0))+D289*INDEX(art_cycle,MATCH($B289,art_ref,0))/60,2),""))</f>
        <v/>
      </c>
      <c r="K289" s="60" t="str">
        <f>IF(J289="","",IFERROR(MAX(1,ROUNDUP(J289/INDEX(po_cap,MATCH(I289,po_code,0)),0)),""))</f>
        <v/>
      </c>
      <c r="L289" s="61">
        <f>IF(K289="",0,IF(N(H289)&gt;0,H289,WORKDAY.INTL(MAX(p_start-1,SUMPRODUCT(MAX(($I$6:$I288=$I289)*$M$6:$M288))),1,p_weekend,p_holidays)))</f>
        <v>0.0</v>
      </c>
      <c r="M289" s="61">
        <f>IF(K289="",0,WORKDAY.INTL(L289,K289-1,p_weekend,p_holidays))</f>
        <v>0.0</v>
      </c>
      <c r="N289" s="62" t="str">
        <f>IF(OR(M289=0,N(F289)=0,G289="Terminé"),"",F289-M289)</f>
        <v/>
      </c>
      <c r="O289" s="58" t="str">
        <f>IF(B289="","",IF(G289="Annulé","Annulé",IF(G289="Terminé","Terminé",IF(M289=0,"À compléter",IF(N(F289)=0,"Sans échéance",IF(M289&gt;F289,"En retard",IF(F289-M289&lt;=p_margin,"Juste","À l'heure")))))))</f>
        <v/>
      </c>
      <c r="P289" s="55" t="n"/>
      <c r="Q289" s="63" t="str">
        <f>IF(OR(B289="",N(D289)&lt;=0),"",MIN(1,N(P289)/D289))</f>
        <v/>
      </c>
      <c r="R289" s="64" t="str">
        <f>IF(OR(J289="",ISNA(MATCH(I289,po_code,0))),"",ROUND(J289*N(INDEX(po_rate,MATCH(I289,po_code,0))),2))</f>
        <v/>
      </c>
      <c r="S289" s="58" t="str">
        <f>IF(AND(A289="",B289=""),"",IF(B289="","Référence manquante",IF(ISNA(MATCH($B289,art_ref,0)),"Référence inconnue",IF(N(D289)&lt;=0,"Quantité invalide",IF(AND(A289&lt;&gt;"",COUNTIF(of_num,A289)&gt;1),"N° OF en double",IF(G289="Annulé","OK",IF(I289="","Poste manquant (gamme)",IF(ISNA(MATCH(I289,po_code,0)),"Poste inconnu",IF(K289="","Capacité du poste nulle",IF(AND(H289&lt;&gt;"",N(H289)=0),"Début imposé invalide",IF(AND(N(H289)&gt;0,WORKDAY.INTL(H289-1,1,p_weekend,p_holidays)&lt;&gt;H289),"Début un jour chômé",IF(AND(N(H289)&gt;0,H289&lt;=SUMPRODUCT(MAX(($I$6:$I288=$I289)*$M$6:$M288))),"Chevauche l'OF précédent",IF(N(F289)=0,"Date de besoin manquante","OK")))))))))))))</f>
        <v/>
      </c>
      <c r="T289" s="65" t="str">
        <f>IF(K289="","",J289/K289)</f>
        <v/>
      </c>
      <c r="U289" s="66" t="str">
        <f>IF(OR(O289="En retard",O289="Juste"),COUNTIF($O$6:O289,"En retard")+COUNTIF($O$6:O289,"Juste"),"")</f>
        <v/>
      </c>
    </row>
    <row r="290">
      <c r="A290" s="53" t="n"/>
      <c r="B290" s="53" t="n"/>
      <c r="C290" s="54" t="str">
        <f>IF(B290="","",IFERROR(INDEX(art_des,MATCH($B290,art_ref,0)),"Référence inconnue"))</f>
        <v/>
      </c>
      <c r="D290" s="55" t="n"/>
      <c r="E290" s="53" t="n"/>
      <c r="F290" s="56" t="n"/>
      <c r="G290" s="57" t="n"/>
      <c r="H290" s="56" t="n"/>
      <c r="I290" s="58" t="str">
        <f>IF(B290="","",IFERROR(INDEX(art_poste,MATCH($B290,art_ref,0))&amp;"",""))</f>
        <v/>
      </c>
      <c r="J290" s="59" t="str">
        <f>IF(OR(B290="",G290="Annulé",N(D290)&lt;=0),"",IFERROR(ROUND(INDEX(art_setup,MATCH($B290,art_ref,0))+D290*INDEX(art_cycle,MATCH($B290,art_ref,0))/60,2),""))</f>
        <v/>
      </c>
      <c r="K290" s="60" t="str">
        <f>IF(J290="","",IFERROR(MAX(1,ROUNDUP(J290/INDEX(po_cap,MATCH(I290,po_code,0)),0)),""))</f>
        <v/>
      </c>
      <c r="L290" s="61">
        <f>IF(K290="",0,IF(N(H290)&gt;0,H290,WORKDAY.INTL(MAX(p_start-1,SUMPRODUCT(MAX(($I$6:$I289=$I290)*$M$6:$M289))),1,p_weekend,p_holidays)))</f>
        <v>0.0</v>
      </c>
      <c r="M290" s="61">
        <f>IF(K290="",0,WORKDAY.INTL(L290,K290-1,p_weekend,p_holidays))</f>
        <v>0.0</v>
      </c>
      <c r="N290" s="62" t="str">
        <f>IF(OR(M290=0,N(F290)=0,G290="Terminé"),"",F290-M290)</f>
        <v/>
      </c>
      <c r="O290" s="58" t="str">
        <f>IF(B290="","",IF(G290="Annulé","Annulé",IF(G290="Terminé","Terminé",IF(M290=0,"À compléter",IF(N(F290)=0,"Sans échéance",IF(M290&gt;F290,"En retard",IF(F290-M290&lt;=p_margin,"Juste","À l'heure")))))))</f>
        <v/>
      </c>
      <c r="P290" s="55" t="n"/>
      <c r="Q290" s="63" t="str">
        <f>IF(OR(B290="",N(D290)&lt;=0),"",MIN(1,N(P290)/D290))</f>
        <v/>
      </c>
      <c r="R290" s="64" t="str">
        <f>IF(OR(J290="",ISNA(MATCH(I290,po_code,0))),"",ROUND(J290*N(INDEX(po_rate,MATCH(I290,po_code,0))),2))</f>
        <v/>
      </c>
      <c r="S290" s="58" t="str">
        <f>IF(AND(A290="",B290=""),"",IF(B290="","Référence manquante",IF(ISNA(MATCH($B290,art_ref,0)),"Référence inconnue",IF(N(D290)&lt;=0,"Quantité invalide",IF(AND(A290&lt;&gt;"",COUNTIF(of_num,A290)&gt;1),"N° OF en double",IF(G290="Annulé","OK",IF(I290="","Poste manquant (gamme)",IF(ISNA(MATCH(I290,po_code,0)),"Poste inconnu",IF(K290="","Capacité du poste nulle",IF(AND(H290&lt;&gt;"",N(H290)=0),"Début imposé invalide",IF(AND(N(H290)&gt;0,WORKDAY.INTL(H290-1,1,p_weekend,p_holidays)&lt;&gt;H290),"Début un jour chômé",IF(AND(N(H290)&gt;0,H290&lt;=SUMPRODUCT(MAX(($I$6:$I289=$I290)*$M$6:$M289))),"Chevauche l'OF précédent",IF(N(F290)=0,"Date de besoin manquante","OK")))))))))))))</f>
        <v/>
      </c>
      <c r="T290" s="65" t="str">
        <f>IF(K290="","",J290/K290)</f>
        <v/>
      </c>
      <c r="U290" s="66" t="str">
        <f>IF(OR(O290="En retard",O290="Juste"),COUNTIF($O$6:O290,"En retard")+COUNTIF($O$6:O290,"Juste"),"")</f>
        <v/>
      </c>
    </row>
    <row r="291">
      <c r="A291" s="53" t="n"/>
      <c r="B291" s="53" t="n"/>
      <c r="C291" s="54" t="str">
        <f>IF(B291="","",IFERROR(INDEX(art_des,MATCH($B291,art_ref,0)),"Référence inconnue"))</f>
        <v/>
      </c>
      <c r="D291" s="55" t="n"/>
      <c r="E291" s="53" t="n"/>
      <c r="F291" s="56" t="n"/>
      <c r="G291" s="57" t="n"/>
      <c r="H291" s="56" t="n"/>
      <c r="I291" s="58" t="str">
        <f>IF(B291="","",IFERROR(INDEX(art_poste,MATCH($B291,art_ref,0))&amp;"",""))</f>
        <v/>
      </c>
      <c r="J291" s="59" t="str">
        <f>IF(OR(B291="",G291="Annulé",N(D291)&lt;=0),"",IFERROR(ROUND(INDEX(art_setup,MATCH($B291,art_ref,0))+D291*INDEX(art_cycle,MATCH($B291,art_ref,0))/60,2),""))</f>
        <v/>
      </c>
      <c r="K291" s="60" t="str">
        <f>IF(J291="","",IFERROR(MAX(1,ROUNDUP(J291/INDEX(po_cap,MATCH(I291,po_code,0)),0)),""))</f>
        <v/>
      </c>
      <c r="L291" s="61">
        <f>IF(K291="",0,IF(N(H291)&gt;0,H291,WORKDAY.INTL(MAX(p_start-1,SUMPRODUCT(MAX(($I$6:$I290=$I291)*$M$6:$M290))),1,p_weekend,p_holidays)))</f>
        <v>0.0</v>
      </c>
      <c r="M291" s="61">
        <f>IF(K291="",0,WORKDAY.INTL(L291,K291-1,p_weekend,p_holidays))</f>
        <v>0.0</v>
      </c>
      <c r="N291" s="62" t="str">
        <f>IF(OR(M291=0,N(F291)=0,G291="Terminé"),"",F291-M291)</f>
        <v/>
      </c>
      <c r="O291" s="58" t="str">
        <f>IF(B291="","",IF(G291="Annulé","Annulé",IF(G291="Terminé","Terminé",IF(M291=0,"À compléter",IF(N(F291)=0,"Sans échéance",IF(M291&gt;F291,"En retard",IF(F291-M291&lt;=p_margin,"Juste","À l'heure")))))))</f>
        <v/>
      </c>
      <c r="P291" s="55" t="n"/>
      <c r="Q291" s="63" t="str">
        <f>IF(OR(B291="",N(D291)&lt;=0),"",MIN(1,N(P291)/D291))</f>
        <v/>
      </c>
      <c r="R291" s="64" t="str">
        <f>IF(OR(J291="",ISNA(MATCH(I291,po_code,0))),"",ROUND(J291*N(INDEX(po_rate,MATCH(I291,po_code,0))),2))</f>
        <v/>
      </c>
      <c r="S291" s="58" t="str">
        <f>IF(AND(A291="",B291=""),"",IF(B291="","Référence manquante",IF(ISNA(MATCH($B291,art_ref,0)),"Référence inconnue",IF(N(D291)&lt;=0,"Quantité invalide",IF(AND(A291&lt;&gt;"",COUNTIF(of_num,A291)&gt;1),"N° OF en double",IF(G291="Annulé","OK",IF(I291="","Poste manquant (gamme)",IF(ISNA(MATCH(I291,po_code,0)),"Poste inconnu",IF(K291="","Capacité du poste nulle",IF(AND(H291&lt;&gt;"",N(H291)=0),"Début imposé invalide",IF(AND(N(H291)&gt;0,WORKDAY.INTL(H291-1,1,p_weekend,p_holidays)&lt;&gt;H291),"Début un jour chômé",IF(AND(N(H291)&gt;0,H291&lt;=SUMPRODUCT(MAX(($I$6:$I290=$I291)*$M$6:$M290))),"Chevauche l'OF précédent",IF(N(F291)=0,"Date de besoin manquante","OK")))))))))))))</f>
        <v/>
      </c>
      <c r="T291" s="65" t="str">
        <f>IF(K291="","",J291/K291)</f>
        <v/>
      </c>
      <c r="U291" s="66" t="str">
        <f>IF(OR(O291="En retard",O291="Juste"),COUNTIF($O$6:O291,"En retard")+COUNTIF($O$6:O291,"Juste"),"")</f>
        <v/>
      </c>
    </row>
    <row r="292">
      <c r="A292" s="53" t="n"/>
      <c r="B292" s="53" t="n"/>
      <c r="C292" s="54" t="str">
        <f>IF(B292="","",IFERROR(INDEX(art_des,MATCH($B292,art_ref,0)),"Référence inconnue"))</f>
        <v/>
      </c>
      <c r="D292" s="55" t="n"/>
      <c r="E292" s="53" t="n"/>
      <c r="F292" s="56" t="n"/>
      <c r="G292" s="57" t="n"/>
      <c r="H292" s="56" t="n"/>
      <c r="I292" s="58" t="str">
        <f>IF(B292="","",IFERROR(INDEX(art_poste,MATCH($B292,art_ref,0))&amp;"",""))</f>
        <v/>
      </c>
      <c r="J292" s="59" t="str">
        <f>IF(OR(B292="",G292="Annulé",N(D292)&lt;=0),"",IFERROR(ROUND(INDEX(art_setup,MATCH($B292,art_ref,0))+D292*INDEX(art_cycle,MATCH($B292,art_ref,0))/60,2),""))</f>
        <v/>
      </c>
      <c r="K292" s="60" t="str">
        <f>IF(J292="","",IFERROR(MAX(1,ROUNDUP(J292/INDEX(po_cap,MATCH(I292,po_code,0)),0)),""))</f>
        <v/>
      </c>
      <c r="L292" s="61">
        <f>IF(K292="",0,IF(N(H292)&gt;0,H292,WORKDAY.INTL(MAX(p_start-1,SUMPRODUCT(MAX(($I$6:$I291=$I292)*$M$6:$M291))),1,p_weekend,p_holidays)))</f>
        <v>0.0</v>
      </c>
      <c r="M292" s="61">
        <f>IF(K292="",0,WORKDAY.INTL(L292,K292-1,p_weekend,p_holidays))</f>
        <v>0.0</v>
      </c>
      <c r="N292" s="62" t="str">
        <f>IF(OR(M292=0,N(F292)=0,G292="Terminé"),"",F292-M292)</f>
        <v/>
      </c>
      <c r="O292" s="58" t="str">
        <f>IF(B292="","",IF(G292="Annulé","Annulé",IF(G292="Terminé","Terminé",IF(M292=0,"À compléter",IF(N(F292)=0,"Sans échéance",IF(M292&gt;F292,"En retard",IF(F292-M292&lt;=p_margin,"Juste","À l'heure")))))))</f>
        <v/>
      </c>
      <c r="P292" s="55" t="n"/>
      <c r="Q292" s="63" t="str">
        <f>IF(OR(B292="",N(D292)&lt;=0),"",MIN(1,N(P292)/D292))</f>
        <v/>
      </c>
      <c r="R292" s="64" t="str">
        <f>IF(OR(J292="",ISNA(MATCH(I292,po_code,0))),"",ROUND(J292*N(INDEX(po_rate,MATCH(I292,po_code,0))),2))</f>
        <v/>
      </c>
      <c r="S292" s="58" t="str">
        <f>IF(AND(A292="",B292=""),"",IF(B292="","Référence manquante",IF(ISNA(MATCH($B292,art_ref,0)),"Référence inconnue",IF(N(D292)&lt;=0,"Quantité invalide",IF(AND(A292&lt;&gt;"",COUNTIF(of_num,A292)&gt;1),"N° OF en double",IF(G292="Annulé","OK",IF(I292="","Poste manquant (gamme)",IF(ISNA(MATCH(I292,po_code,0)),"Poste inconnu",IF(K292="","Capacité du poste nulle",IF(AND(H292&lt;&gt;"",N(H292)=0),"Début imposé invalide",IF(AND(N(H292)&gt;0,WORKDAY.INTL(H292-1,1,p_weekend,p_holidays)&lt;&gt;H292),"Début un jour chômé",IF(AND(N(H292)&gt;0,H292&lt;=SUMPRODUCT(MAX(($I$6:$I291=$I292)*$M$6:$M291))),"Chevauche l'OF précédent",IF(N(F292)=0,"Date de besoin manquante","OK")))))))))))))</f>
        <v/>
      </c>
      <c r="T292" s="65" t="str">
        <f>IF(K292="","",J292/K292)</f>
        <v/>
      </c>
      <c r="U292" s="66" t="str">
        <f>IF(OR(O292="En retard",O292="Juste"),COUNTIF($O$6:O292,"En retard")+COUNTIF($O$6:O292,"Juste"),"")</f>
        <v/>
      </c>
    </row>
    <row r="293">
      <c r="A293" s="53" t="n"/>
      <c r="B293" s="53" t="n"/>
      <c r="C293" s="54" t="str">
        <f>IF(B293="","",IFERROR(INDEX(art_des,MATCH($B293,art_ref,0)),"Référence inconnue"))</f>
        <v/>
      </c>
      <c r="D293" s="55" t="n"/>
      <c r="E293" s="53" t="n"/>
      <c r="F293" s="56" t="n"/>
      <c r="G293" s="57" t="n"/>
      <c r="H293" s="56" t="n"/>
      <c r="I293" s="58" t="str">
        <f>IF(B293="","",IFERROR(INDEX(art_poste,MATCH($B293,art_ref,0))&amp;"",""))</f>
        <v/>
      </c>
      <c r="J293" s="59" t="str">
        <f>IF(OR(B293="",G293="Annulé",N(D293)&lt;=0),"",IFERROR(ROUND(INDEX(art_setup,MATCH($B293,art_ref,0))+D293*INDEX(art_cycle,MATCH($B293,art_ref,0))/60,2),""))</f>
        <v/>
      </c>
      <c r="K293" s="60" t="str">
        <f>IF(J293="","",IFERROR(MAX(1,ROUNDUP(J293/INDEX(po_cap,MATCH(I293,po_code,0)),0)),""))</f>
        <v/>
      </c>
      <c r="L293" s="61">
        <f>IF(K293="",0,IF(N(H293)&gt;0,H293,WORKDAY.INTL(MAX(p_start-1,SUMPRODUCT(MAX(($I$6:$I292=$I293)*$M$6:$M292))),1,p_weekend,p_holidays)))</f>
        <v>0.0</v>
      </c>
      <c r="M293" s="61">
        <f>IF(K293="",0,WORKDAY.INTL(L293,K293-1,p_weekend,p_holidays))</f>
        <v>0.0</v>
      </c>
      <c r="N293" s="62" t="str">
        <f>IF(OR(M293=0,N(F293)=0,G293="Terminé"),"",F293-M293)</f>
        <v/>
      </c>
      <c r="O293" s="58" t="str">
        <f>IF(B293="","",IF(G293="Annulé","Annulé",IF(G293="Terminé","Terminé",IF(M293=0,"À compléter",IF(N(F293)=0,"Sans échéance",IF(M293&gt;F293,"En retard",IF(F293-M293&lt;=p_margin,"Juste","À l'heure")))))))</f>
        <v/>
      </c>
      <c r="P293" s="55" t="n"/>
      <c r="Q293" s="63" t="str">
        <f>IF(OR(B293="",N(D293)&lt;=0),"",MIN(1,N(P293)/D293))</f>
        <v/>
      </c>
      <c r="R293" s="64" t="str">
        <f>IF(OR(J293="",ISNA(MATCH(I293,po_code,0))),"",ROUND(J293*N(INDEX(po_rate,MATCH(I293,po_code,0))),2))</f>
        <v/>
      </c>
      <c r="S293" s="58" t="str">
        <f>IF(AND(A293="",B293=""),"",IF(B293="","Référence manquante",IF(ISNA(MATCH($B293,art_ref,0)),"Référence inconnue",IF(N(D293)&lt;=0,"Quantité invalide",IF(AND(A293&lt;&gt;"",COUNTIF(of_num,A293)&gt;1),"N° OF en double",IF(G293="Annulé","OK",IF(I293="","Poste manquant (gamme)",IF(ISNA(MATCH(I293,po_code,0)),"Poste inconnu",IF(K293="","Capacité du poste nulle",IF(AND(H293&lt;&gt;"",N(H293)=0),"Début imposé invalide",IF(AND(N(H293)&gt;0,WORKDAY.INTL(H293-1,1,p_weekend,p_holidays)&lt;&gt;H293),"Début un jour chômé",IF(AND(N(H293)&gt;0,H293&lt;=SUMPRODUCT(MAX(($I$6:$I292=$I293)*$M$6:$M292))),"Chevauche l'OF précédent",IF(N(F293)=0,"Date de besoin manquante","OK")))))))))))))</f>
        <v/>
      </c>
      <c r="T293" s="65" t="str">
        <f>IF(K293="","",J293/K293)</f>
        <v/>
      </c>
      <c r="U293" s="66" t="str">
        <f>IF(OR(O293="En retard",O293="Juste"),COUNTIF($O$6:O293,"En retard")+COUNTIF($O$6:O293,"Juste"),"")</f>
        <v/>
      </c>
    </row>
    <row r="294">
      <c r="A294" s="53" t="n"/>
      <c r="B294" s="53" t="n"/>
      <c r="C294" s="54" t="str">
        <f>IF(B294="","",IFERROR(INDEX(art_des,MATCH($B294,art_ref,0)),"Référence inconnue"))</f>
        <v/>
      </c>
      <c r="D294" s="55" t="n"/>
      <c r="E294" s="53" t="n"/>
      <c r="F294" s="56" t="n"/>
      <c r="G294" s="57" t="n"/>
      <c r="H294" s="56" t="n"/>
      <c r="I294" s="58" t="str">
        <f>IF(B294="","",IFERROR(INDEX(art_poste,MATCH($B294,art_ref,0))&amp;"",""))</f>
        <v/>
      </c>
      <c r="J294" s="59" t="str">
        <f>IF(OR(B294="",G294="Annulé",N(D294)&lt;=0),"",IFERROR(ROUND(INDEX(art_setup,MATCH($B294,art_ref,0))+D294*INDEX(art_cycle,MATCH($B294,art_ref,0))/60,2),""))</f>
        <v/>
      </c>
      <c r="K294" s="60" t="str">
        <f>IF(J294="","",IFERROR(MAX(1,ROUNDUP(J294/INDEX(po_cap,MATCH(I294,po_code,0)),0)),""))</f>
        <v/>
      </c>
      <c r="L294" s="61">
        <f>IF(K294="",0,IF(N(H294)&gt;0,H294,WORKDAY.INTL(MAX(p_start-1,SUMPRODUCT(MAX(($I$6:$I293=$I294)*$M$6:$M293))),1,p_weekend,p_holidays)))</f>
        <v>0.0</v>
      </c>
      <c r="M294" s="61">
        <f>IF(K294="",0,WORKDAY.INTL(L294,K294-1,p_weekend,p_holidays))</f>
        <v>0.0</v>
      </c>
      <c r="N294" s="62" t="str">
        <f>IF(OR(M294=0,N(F294)=0,G294="Terminé"),"",F294-M294)</f>
        <v/>
      </c>
      <c r="O294" s="58" t="str">
        <f>IF(B294="","",IF(G294="Annulé","Annulé",IF(G294="Terminé","Terminé",IF(M294=0,"À compléter",IF(N(F294)=0,"Sans échéance",IF(M294&gt;F294,"En retard",IF(F294-M294&lt;=p_margin,"Juste","À l'heure")))))))</f>
        <v/>
      </c>
      <c r="P294" s="55" t="n"/>
      <c r="Q294" s="63" t="str">
        <f>IF(OR(B294="",N(D294)&lt;=0),"",MIN(1,N(P294)/D294))</f>
        <v/>
      </c>
      <c r="R294" s="64" t="str">
        <f>IF(OR(J294="",ISNA(MATCH(I294,po_code,0))),"",ROUND(J294*N(INDEX(po_rate,MATCH(I294,po_code,0))),2))</f>
        <v/>
      </c>
      <c r="S294" s="58" t="str">
        <f>IF(AND(A294="",B294=""),"",IF(B294="","Référence manquante",IF(ISNA(MATCH($B294,art_ref,0)),"Référence inconnue",IF(N(D294)&lt;=0,"Quantité invalide",IF(AND(A294&lt;&gt;"",COUNTIF(of_num,A294)&gt;1),"N° OF en double",IF(G294="Annulé","OK",IF(I294="","Poste manquant (gamme)",IF(ISNA(MATCH(I294,po_code,0)),"Poste inconnu",IF(K294="","Capacité du poste nulle",IF(AND(H294&lt;&gt;"",N(H294)=0),"Début imposé invalide",IF(AND(N(H294)&gt;0,WORKDAY.INTL(H294-1,1,p_weekend,p_holidays)&lt;&gt;H294),"Début un jour chômé",IF(AND(N(H294)&gt;0,H294&lt;=SUMPRODUCT(MAX(($I$6:$I293=$I294)*$M$6:$M293))),"Chevauche l'OF précédent",IF(N(F294)=0,"Date de besoin manquante","OK")))))))))))))</f>
        <v/>
      </c>
      <c r="T294" s="65" t="str">
        <f>IF(K294="","",J294/K294)</f>
        <v/>
      </c>
      <c r="U294" s="66" t="str">
        <f>IF(OR(O294="En retard",O294="Juste"),COUNTIF($O$6:O294,"En retard")+COUNTIF($O$6:O294,"Juste"),"")</f>
        <v/>
      </c>
    </row>
    <row r="295">
      <c r="A295" s="53" t="n"/>
      <c r="B295" s="53" t="n"/>
      <c r="C295" s="54" t="str">
        <f>IF(B295="","",IFERROR(INDEX(art_des,MATCH($B295,art_ref,0)),"Référence inconnue"))</f>
        <v/>
      </c>
      <c r="D295" s="55" t="n"/>
      <c r="E295" s="53" t="n"/>
      <c r="F295" s="56" t="n"/>
      <c r="G295" s="57" t="n"/>
      <c r="H295" s="56" t="n"/>
      <c r="I295" s="58" t="str">
        <f>IF(B295="","",IFERROR(INDEX(art_poste,MATCH($B295,art_ref,0))&amp;"",""))</f>
        <v/>
      </c>
      <c r="J295" s="59" t="str">
        <f>IF(OR(B295="",G295="Annulé",N(D295)&lt;=0),"",IFERROR(ROUND(INDEX(art_setup,MATCH($B295,art_ref,0))+D295*INDEX(art_cycle,MATCH($B295,art_ref,0))/60,2),""))</f>
        <v/>
      </c>
      <c r="K295" s="60" t="str">
        <f>IF(J295="","",IFERROR(MAX(1,ROUNDUP(J295/INDEX(po_cap,MATCH(I295,po_code,0)),0)),""))</f>
        <v/>
      </c>
      <c r="L295" s="61">
        <f>IF(K295="",0,IF(N(H295)&gt;0,H295,WORKDAY.INTL(MAX(p_start-1,SUMPRODUCT(MAX(($I$6:$I294=$I295)*$M$6:$M294))),1,p_weekend,p_holidays)))</f>
        <v>0.0</v>
      </c>
      <c r="M295" s="61">
        <f>IF(K295="",0,WORKDAY.INTL(L295,K295-1,p_weekend,p_holidays))</f>
        <v>0.0</v>
      </c>
      <c r="N295" s="62" t="str">
        <f>IF(OR(M295=0,N(F295)=0,G295="Terminé"),"",F295-M295)</f>
        <v/>
      </c>
      <c r="O295" s="58" t="str">
        <f>IF(B295="","",IF(G295="Annulé","Annulé",IF(G295="Terminé","Terminé",IF(M295=0,"À compléter",IF(N(F295)=0,"Sans échéance",IF(M295&gt;F295,"En retard",IF(F295-M295&lt;=p_margin,"Juste","À l'heure")))))))</f>
        <v/>
      </c>
      <c r="P295" s="55" t="n"/>
      <c r="Q295" s="63" t="str">
        <f>IF(OR(B295="",N(D295)&lt;=0),"",MIN(1,N(P295)/D295))</f>
        <v/>
      </c>
      <c r="R295" s="64" t="str">
        <f>IF(OR(J295="",ISNA(MATCH(I295,po_code,0))),"",ROUND(J295*N(INDEX(po_rate,MATCH(I295,po_code,0))),2))</f>
        <v/>
      </c>
      <c r="S295" s="58" t="str">
        <f>IF(AND(A295="",B295=""),"",IF(B295="","Référence manquante",IF(ISNA(MATCH($B295,art_ref,0)),"Référence inconnue",IF(N(D295)&lt;=0,"Quantité invalide",IF(AND(A295&lt;&gt;"",COUNTIF(of_num,A295)&gt;1),"N° OF en double",IF(G295="Annulé","OK",IF(I295="","Poste manquant (gamme)",IF(ISNA(MATCH(I295,po_code,0)),"Poste inconnu",IF(K295="","Capacité du poste nulle",IF(AND(H295&lt;&gt;"",N(H295)=0),"Début imposé invalide",IF(AND(N(H295)&gt;0,WORKDAY.INTL(H295-1,1,p_weekend,p_holidays)&lt;&gt;H295),"Début un jour chômé",IF(AND(N(H295)&gt;0,H295&lt;=SUMPRODUCT(MAX(($I$6:$I294=$I295)*$M$6:$M294))),"Chevauche l'OF précédent",IF(N(F295)=0,"Date de besoin manquante","OK")))))))))))))</f>
        <v/>
      </c>
      <c r="T295" s="65" t="str">
        <f>IF(K295="","",J295/K295)</f>
        <v/>
      </c>
      <c r="U295" s="66" t="str">
        <f>IF(OR(O295="En retard",O295="Juste"),COUNTIF($O$6:O295,"En retard")+COUNTIF($O$6:O295,"Juste"),"")</f>
        <v/>
      </c>
    </row>
    <row r="296">
      <c r="A296" s="53" t="n"/>
      <c r="B296" s="53" t="n"/>
      <c r="C296" s="54" t="str">
        <f>IF(B296="","",IFERROR(INDEX(art_des,MATCH($B296,art_ref,0)),"Référence inconnue"))</f>
        <v/>
      </c>
      <c r="D296" s="55" t="n"/>
      <c r="E296" s="53" t="n"/>
      <c r="F296" s="56" t="n"/>
      <c r="G296" s="57" t="n"/>
      <c r="H296" s="56" t="n"/>
      <c r="I296" s="58" t="str">
        <f>IF(B296="","",IFERROR(INDEX(art_poste,MATCH($B296,art_ref,0))&amp;"",""))</f>
        <v/>
      </c>
      <c r="J296" s="59" t="str">
        <f>IF(OR(B296="",G296="Annulé",N(D296)&lt;=0),"",IFERROR(ROUND(INDEX(art_setup,MATCH($B296,art_ref,0))+D296*INDEX(art_cycle,MATCH($B296,art_ref,0))/60,2),""))</f>
        <v/>
      </c>
      <c r="K296" s="60" t="str">
        <f>IF(J296="","",IFERROR(MAX(1,ROUNDUP(J296/INDEX(po_cap,MATCH(I296,po_code,0)),0)),""))</f>
        <v/>
      </c>
      <c r="L296" s="61">
        <f>IF(K296="",0,IF(N(H296)&gt;0,H296,WORKDAY.INTL(MAX(p_start-1,SUMPRODUCT(MAX(($I$6:$I295=$I296)*$M$6:$M295))),1,p_weekend,p_holidays)))</f>
        <v>0.0</v>
      </c>
      <c r="M296" s="61">
        <f>IF(K296="",0,WORKDAY.INTL(L296,K296-1,p_weekend,p_holidays))</f>
        <v>0.0</v>
      </c>
      <c r="N296" s="62" t="str">
        <f>IF(OR(M296=0,N(F296)=0,G296="Terminé"),"",F296-M296)</f>
        <v/>
      </c>
      <c r="O296" s="58" t="str">
        <f>IF(B296="","",IF(G296="Annulé","Annulé",IF(G296="Terminé","Terminé",IF(M296=0,"À compléter",IF(N(F296)=0,"Sans échéance",IF(M296&gt;F296,"En retard",IF(F296-M296&lt;=p_margin,"Juste","À l'heure")))))))</f>
        <v/>
      </c>
      <c r="P296" s="55" t="n"/>
      <c r="Q296" s="63" t="str">
        <f>IF(OR(B296="",N(D296)&lt;=0),"",MIN(1,N(P296)/D296))</f>
        <v/>
      </c>
      <c r="R296" s="64" t="str">
        <f>IF(OR(J296="",ISNA(MATCH(I296,po_code,0))),"",ROUND(J296*N(INDEX(po_rate,MATCH(I296,po_code,0))),2))</f>
        <v/>
      </c>
      <c r="S296" s="58" t="str">
        <f>IF(AND(A296="",B296=""),"",IF(B296="","Référence manquante",IF(ISNA(MATCH($B296,art_ref,0)),"Référence inconnue",IF(N(D296)&lt;=0,"Quantité invalide",IF(AND(A296&lt;&gt;"",COUNTIF(of_num,A296)&gt;1),"N° OF en double",IF(G296="Annulé","OK",IF(I296="","Poste manquant (gamme)",IF(ISNA(MATCH(I296,po_code,0)),"Poste inconnu",IF(K296="","Capacité du poste nulle",IF(AND(H296&lt;&gt;"",N(H296)=0),"Début imposé invalide",IF(AND(N(H296)&gt;0,WORKDAY.INTL(H296-1,1,p_weekend,p_holidays)&lt;&gt;H296),"Début un jour chômé",IF(AND(N(H296)&gt;0,H296&lt;=SUMPRODUCT(MAX(($I$6:$I295=$I296)*$M$6:$M295))),"Chevauche l'OF précédent",IF(N(F296)=0,"Date de besoin manquante","OK")))))))))))))</f>
        <v/>
      </c>
      <c r="T296" s="65" t="str">
        <f>IF(K296="","",J296/K296)</f>
        <v/>
      </c>
      <c r="U296" s="66" t="str">
        <f>IF(OR(O296="En retard",O296="Juste"),COUNTIF($O$6:O296,"En retard")+COUNTIF($O$6:O296,"Juste"),"")</f>
        <v/>
      </c>
    </row>
    <row r="297">
      <c r="A297" s="53" t="n"/>
      <c r="B297" s="53" t="n"/>
      <c r="C297" s="54" t="str">
        <f>IF(B297="","",IFERROR(INDEX(art_des,MATCH($B297,art_ref,0)),"Référence inconnue"))</f>
        <v/>
      </c>
      <c r="D297" s="55" t="n"/>
      <c r="E297" s="53" t="n"/>
      <c r="F297" s="56" t="n"/>
      <c r="G297" s="57" t="n"/>
      <c r="H297" s="56" t="n"/>
      <c r="I297" s="58" t="str">
        <f>IF(B297="","",IFERROR(INDEX(art_poste,MATCH($B297,art_ref,0))&amp;"",""))</f>
        <v/>
      </c>
      <c r="J297" s="59" t="str">
        <f>IF(OR(B297="",G297="Annulé",N(D297)&lt;=0),"",IFERROR(ROUND(INDEX(art_setup,MATCH($B297,art_ref,0))+D297*INDEX(art_cycle,MATCH($B297,art_ref,0))/60,2),""))</f>
        <v/>
      </c>
      <c r="K297" s="60" t="str">
        <f>IF(J297="","",IFERROR(MAX(1,ROUNDUP(J297/INDEX(po_cap,MATCH(I297,po_code,0)),0)),""))</f>
        <v/>
      </c>
      <c r="L297" s="61">
        <f>IF(K297="",0,IF(N(H297)&gt;0,H297,WORKDAY.INTL(MAX(p_start-1,SUMPRODUCT(MAX(($I$6:$I296=$I297)*$M$6:$M296))),1,p_weekend,p_holidays)))</f>
        <v>0.0</v>
      </c>
      <c r="M297" s="61">
        <f>IF(K297="",0,WORKDAY.INTL(L297,K297-1,p_weekend,p_holidays))</f>
        <v>0.0</v>
      </c>
      <c r="N297" s="62" t="str">
        <f>IF(OR(M297=0,N(F297)=0,G297="Terminé"),"",F297-M297)</f>
        <v/>
      </c>
      <c r="O297" s="58" t="str">
        <f>IF(B297="","",IF(G297="Annulé","Annulé",IF(G297="Terminé","Terminé",IF(M297=0,"À compléter",IF(N(F297)=0,"Sans échéance",IF(M297&gt;F297,"En retard",IF(F297-M297&lt;=p_margin,"Juste","À l'heure")))))))</f>
        <v/>
      </c>
      <c r="P297" s="55" t="n"/>
      <c r="Q297" s="63" t="str">
        <f>IF(OR(B297="",N(D297)&lt;=0),"",MIN(1,N(P297)/D297))</f>
        <v/>
      </c>
      <c r="R297" s="64" t="str">
        <f>IF(OR(J297="",ISNA(MATCH(I297,po_code,0))),"",ROUND(J297*N(INDEX(po_rate,MATCH(I297,po_code,0))),2))</f>
        <v/>
      </c>
      <c r="S297" s="58" t="str">
        <f>IF(AND(A297="",B297=""),"",IF(B297="","Référence manquante",IF(ISNA(MATCH($B297,art_ref,0)),"Référence inconnue",IF(N(D297)&lt;=0,"Quantité invalide",IF(AND(A297&lt;&gt;"",COUNTIF(of_num,A297)&gt;1),"N° OF en double",IF(G297="Annulé","OK",IF(I297="","Poste manquant (gamme)",IF(ISNA(MATCH(I297,po_code,0)),"Poste inconnu",IF(K297="","Capacité du poste nulle",IF(AND(H297&lt;&gt;"",N(H297)=0),"Début imposé invalide",IF(AND(N(H297)&gt;0,WORKDAY.INTL(H297-1,1,p_weekend,p_holidays)&lt;&gt;H297),"Début un jour chômé",IF(AND(N(H297)&gt;0,H297&lt;=SUMPRODUCT(MAX(($I$6:$I296=$I297)*$M$6:$M296))),"Chevauche l'OF précédent",IF(N(F297)=0,"Date de besoin manquante","OK")))))))))))))</f>
        <v/>
      </c>
      <c r="T297" s="65" t="str">
        <f>IF(K297="","",J297/K297)</f>
        <v/>
      </c>
      <c r="U297" s="66" t="str">
        <f>IF(OR(O297="En retard",O297="Juste"),COUNTIF($O$6:O297,"En retard")+COUNTIF($O$6:O297,"Juste"),"")</f>
        <v/>
      </c>
    </row>
    <row r="298">
      <c r="A298" s="53" t="n"/>
      <c r="B298" s="53" t="n"/>
      <c r="C298" s="54" t="str">
        <f>IF(B298="","",IFERROR(INDEX(art_des,MATCH($B298,art_ref,0)),"Référence inconnue"))</f>
        <v/>
      </c>
      <c r="D298" s="55" t="n"/>
      <c r="E298" s="53" t="n"/>
      <c r="F298" s="56" t="n"/>
      <c r="G298" s="57" t="n"/>
      <c r="H298" s="56" t="n"/>
      <c r="I298" s="58" t="str">
        <f>IF(B298="","",IFERROR(INDEX(art_poste,MATCH($B298,art_ref,0))&amp;"",""))</f>
        <v/>
      </c>
      <c r="J298" s="59" t="str">
        <f>IF(OR(B298="",G298="Annulé",N(D298)&lt;=0),"",IFERROR(ROUND(INDEX(art_setup,MATCH($B298,art_ref,0))+D298*INDEX(art_cycle,MATCH($B298,art_ref,0))/60,2),""))</f>
        <v/>
      </c>
      <c r="K298" s="60" t="str">
        <f>IF(J298="","",IFERROR(MAX(1,ROUNDUP(J298/INDEX(po_cap,MATCH(I298,po_code,0)),0)),""))</f>
        <v/>
      </c>
      <c r="L298" s="61">
        <f>IF(K298="",0,IF(N(H298)&gt;0,H298,WORKDAY.INTL(MAX(p_start-1,SUMPRODUCT(MAX(($I$6:$I297=$I298)*$M$6:$M297))),1,p_weekend,p_holidays)))</f>
        <v>0.0</v>
      </c>
      <c r="M298" s="61">
        <f>IF(K298="",0,WORKDAY.INTL(L298,K298-1,p_weekend,p_holidays))</f>
        <v>0.0</v>
      </c>
      <c r="N298" s="62" t="str">
        <f>IF(OR(M298=0,N(F298)=0,G298="Terminé"),"",F298-M298)</f>
        <v/>
      </c>
      <c r="O298" s="58" t="str">
        <f>IF(B298="","",IF(G298="Annulé","Annulé",IF(G298="Terminé","Terminé",IF(M298=0,"À compléter",IF(N(F298)=0,"Sans échéance",IF(M298&gt;F298,"En retard",IF(F298-M298&lt;=p_margin,"Juste","À l'heure")))))))</f>
        <v/>
      </c>
      <c r="P298" s="55" t="n"/>
      <c r="Q298" s="63" t="str">
        <f>IF(OR(B298="",N(D298)&lt;=0),"",MIN(1,N(P298)/D298))</f>
        <v/>
      </c>
      <c r="R298" s="64" t="str">
        <f>IF(OR(J298="",ISNA(MATCH(I298,po_code,0))),"",ROUND(J298*N(INDEX(po_rate,MATCH(I298,po_code,0))),2))</f>
        <v/>
      </c>
      <c r="S298" s="58" t="str">
        <f>IF(AND(A298="",B298=""),"",IF(B298="","Référence manquante",IF(ISNA(MATCH($B298,art_ref,0)),"Référence inconnue",IF(N(D298)&lt;=0,"Quantité invalide",IF(AND(A298&lt;&gt;"",COUNTIF(of_num,A298)&gt;1),"N° OF en double",IF(G298="Annulé","OK",IF(I298="","Poste manquant (gamme)",IF(ISNA(MATCH(I298,po_code,0)),"Poste inconnu",IF(K298="","Capacité du poste nulle",IF(AND(H298&lt;&gt;"",N(H298)=0),"Début imposé invalide",IF(AND(N(H298)&gt;0,WORKDAY.INTL(H298-1,1,p_weekend,p_holidays)&lt;&gt;H298),"Début un jour chômé",IF(AND(N(H298)&gt;0,H298&lt;=SUMPRODUCT(MAX(($I$6:$I297=$I298)*$M$6:$M297))),"Chevauche l'OF précédent",IF(N(F298)=0,"Date de besoin manquante","OK")))))))))))))</f>
        <v/>
      </c>
      <c r="T298" s="65" t="str">
        <f>IF(K298="","",J298/K298)</f>
        <v/>
      </c>
      <c r="U298" s="66" t="str">
        <f>IF(OR(O298="En retard",O298="Juste"),COUNTIF($O$6:O298,"En retard")+COUNTIF($O$6:O298,"Juste"),"")</f>
        <v/>
      </c>
    </row>
    <row r="299">
      <c r="A299" s="53" t="n"/>
      <c r="B299" s="53" t="n"/>
      <c r="C299" s="54" t="str">
        <f>IF(B299="","",IFERROR(INDEX(art_des,MATCH($B299,art_ref,0)),"Référence inconnue"))</f>
        <v/>
      </c>
      <c r="D299" s="55" t="n"/>
      <c r="E299" s="53" t="n"/>
      <c r="F299" s="56" t="n"/>
      <c r="G299" s="57" t="n"/>
      <c r="H299" s="56" t="n"/>
      <c r="I299" s="58" t="str">
        <f>IF(B299="","",IFERROR(INDEX(art_poste,MATCH($B299,art_ref,0))&amp;"",""))</f>
        <v/>
      </c>
      <c r="J299" s="59" t="str">
        <f>IF(OR(B299="",G299="Annulé",N(D299)&lt;=0),"",IFERROR(ROUND(INDEX(art_setup,MATCH($B299,art_ref,0))+D299*INDEX(art_cycle,MATCH($B299,art_ref,0))/60,2),""))</f>
        <v/>
      </c>
      <c r="K299" s="60" t="str">
        <f>IF(J299="","",IFERROR(MAX(1,ROUNDUP(J299/INDEX(po_cap,MATCH(I299,po_code,0)),0)),""))</f>
        <v/>
      </c>
      <c r="L299" s="61">
        <f>IF(K299="",0,IF(N(H299)&gt;0,H299,WORKDAY.INTL(MAX(p_start-1,SUMPRODUCT(MAX(($I$6:$I298=$I299)*$M$6:$M298))),1,p_weekend,p_holidays)))</f>
        <v>0.0</v>
      </c>
      <c r="M299" s="61">
        <f>IF(K299="",0,WORKDAY.INTL(L299,K299-1,p_weekend,p_holidays))</f>
        <v>0.0</v>
      </c>
      <c r="N299" s="62" t="str">
        <f>IF(OR(M299=0,N(F299)=0,G299="Terminé"),"",F299-M299)</f>
        <v/>
      </c>
      <c r="O299" s="58" t="str">
        <f>IF(B299="","",IF(G299="Annulé","Annulé",IF(G299="Terminé","Terminé",IF(M299=0,"À compléter",IF(N(F299)=0,"Sans échéance",IF(M299&gt;F299,"En retard",IF(F299-M299&lt;=p_margin,"Juste","À l'heure")))))))</f>
        <v/>
      </c>
      <c r="P299" s="55" t="n"/>
      <c r="Q299" s="63" t="str">
        <f>IF(OR(B299="",N(D299)&lt;=0),"",MIN(1,N(P299)/D299))</f>
        <v/>
      </c>
      <c r="R299" s="64" t="str">
        <f>IF(OR(J299="",ISNA(MATCH(I299,po_code,0))),"",ROUND(J299*N(INDEX(po_rate,MATCH(I299,po_code,0))),2))</f>
        <v/>
      </c>
      <c r="S299" s="58" t="str">
        <f>IF(AND(A299="",B299=""),"",IF(B299="","Référence manquante",IF(ISNA(MATCH($B299,art_ref,0)),"Référence inconnue",IF(N(D299)&lt;=0,"Quantité invalide",IF(AND(A299&lt;&gt;"",COUNTIF(of_num,A299)&gt;1),"N° OF en double",IF(G299="Annulé","OK",IF(I299="","Poste manquant (gamme)",IF(ISNA(MATCH(I299,po_code,0)),"Poste inconnu",IF(K299="","Capacité du poste nulle",IF(AND(H299&lt;&gt;"",N(H299)=0),"Début imposé invalide",IF(AND(N(H299)&gt;0,WORKDAY.INTL(H299-1,1,p_weekend,p_holidays)&lt;&gt;H299),"Début un jour chômé",IF(AND(N(H299)&gt;0,H299&lt;=SUMPRODUCT(MAX(($I$6:$I298=$I299)*$M$6:$M298))),"Chevauche l'OF précédent",IF(N(F299)=0,"Date de besoin manquante","OK")))))))))))))</f>
        <v/>
      </c>
      <c r="T299" s="65" t="str">
        <f>IF(K299="","",J299/K299)</f>
        <v/>
      </c>
      <c r="U299" s="66" t="str">
        <f>IF(OR(O299="En retard",O299="Juste"),COUNTIF($O$6:O299,"En retard")+COUNTIF($O$6:O299,"Juste"),"")</f>
        <v/>
      </c>
    </row>
    <row r="300">
      <c r="A300" s="53" t="n"/>
      <c r="B300" s="53" t="n"/>
      <c r="C300" s="54" t="str">
        <f>IF(B300="","",IFERROR(INDEX(art_des,MATCH($B300,art_ref,0)),"Référence inconnue"))</f>
        <v/>
      </c>
      <c r="D300" s="55" t="n"/>
      <c r="E300" s="53" t="n"/>
      <c r="F300" s="56" t="n"/>
      <c r="G300" s="57" t="n"/>
      <c r="H300" s="56" t="n"/>
      <c r="I300" s="58" t="str">
        <f>IF(B300="","",IFERROR(INDEX(art_poste,MATCH($B300,art_ref,0))&amp;"",""))</f>
        <v/>
      </c>
      <c r="J300" s="59" t="str">
        <f>IF(OR(B300="",G300="Annulé",N(D300)&lt;=0),"",IFERROR(ROUND(INDEX(art_setup,MATCH($B300,art_ref,0))+D300*INDEX(art_cycle,MATCH($B300,art_ref,0))/60,2),""))</f>
        <v/>
      </c>
      <c r="K300" s="60" t="str">
        <f>IF(J300="","",IFERROR(MAX(1,ROUNDUP(J300/INDEX(po_cap,MATCH(I300,po_code,0)),0)),""))</f>
        <v/>
      </c>
      <c r="L300" s="61">
        <f>IF(K300="",0,IF(N(H300)&gt;0,H300,WORKDAY.INTL(MAX(p_start-1,SUMPRODUCT(MAX(($I$6:$I299=$I300)*$M$6:$M299))),1,p_weekend,p_holidays)))</f>
        <v>0.0</v>
      </c>
      <c r="M300" s="61">
        <f>IF(K300="",0,WORKDAY.INTL(L300,K300-1,p_weekend,p_holidays))</f>
        <v>0.0</v>
      </c>
      <c r="N300" s="62" t="str">
        <f>IF(OR(M300=0,N(F300)=0,G300="Terminé"),"",F300-M300)</f>
        <v/>
      </c>
      <c r="O300" s="58" t="str">
        <f>IF(B300="","",IF(G300="Annulé","Annulé",IF(G300="Terminé","Terminé",IF(M300=0,"À compléter",IF(N(F300)=0,"Sans échéance",IF(M300&gt;F300,"En retard",IF(F300-M300&lt;=p_margin,"Juste","À l'heure")))))))</f>
        <v/>
      </c>
      <c r="P300" s="55" t="n"/>
      <c r="Q300" s="63" t="str">
        <f>IF(OR(B300="",N(D300)&lt;=0),"",MIN(1,N(P300)/D300))</f>
        <v/>
      </c>
      <c r="R300" s="64" t="str">
        <f>IF(OR(J300="",ISNA(MATCH(I300,po_code,0))),"",ROUND(J300*N(INDEX(po_rate,MATCH(I300,po_code,0))),2))</f>
        <v/>
      </c>
      <c r="S300" s="58" t="str">
        <f>IF(AND(A300="",B300=""),"",IF(B300="","Référence manquante",IF(ISNA(MATCH($B300,art_ref,0)),"Référence inconnue",IF(N(D300)&lt;=0,"Quantité invalide",IF(AND(A300&lt;&gt;"",COUNTIF(of_num,A300)&gt;1),"N° OF en double",IF(G300="Annulé","OK",IF(I300="","Poste manquant (gamme)",IF(ISNA(MATCH(I300,po_code,0)),"Poste inconnu",IF(K300="","Capacité du poste nulle",IF(AND(H300&lt;&gt;"",N(H300)=0),"Début imposé invalide",IF(AND(N(H300)&gt;0,WORKDAY.INTL(H300-1,1,p_weekend,p_holidays)&lt;&gt;H300),"Début un jour chômé",IF(AND(N(H300)&gt;0,H300&lt;=SUMPRODUCT(MAX(($I$6:$I299=$I300)*$M$6:$M299))),"Chevauche l'OF précédent",IF(N(F300)=0,"Date de besoin manquante","OK")))))))))))))</f>
        <v/>
      </c>
      <c r="T300" s="65" t="str">
        <f>IF(K300="","",J300/K300)</f>
        <v/>
      </c>
      <c r="U300" s="66" t="str">
        <f>IF(OR(O300="En retard",O300="Juste"),COUNTIF($O$6:O300,"En retard")+COUNTIF($O$6:O300,"Juste"),"")</f>
        <v/>
      </c>
    </row>
    <row r="301">
      <c r="A301" s="53" t="n"/>
      <c r="B301" s="53" t="n"/>
      <c r="C301" s="54" t="str">
        <f>IF(B301="","",IFERROR(INDEX(art_des,MATCH($B301,art_ref,0)),"Référence inconnue"))</f>
        <v/>
      </c>
      <c r="D301" s="55" t="n"/>
      <c r="E301" s="53" t="n"/>
      <c r="F301" s="56" t="n"/>
      <c r="G301" s="57" t="n"/>
      <c r="H301" s="56" t="n"/>
      <c r="I301" s="58" t="str">
        <f>IF(B301="","",IFERROR(INDEX(art_poste,MATCH($B301,art_ref,0))&amp;"",""))</f>
        <v/>
      </c>
      <c r="J301" s="59" t="str">
        <f>IF(OR(B301="",G301="Annulé",N(D301)&lt;=0),"",IFERROR(ROUND(INDEX(art_setup,MATCH($B301,art_ref,0))+D301*INDEX(art_cycle,MATCH($B301,art_ref,0))/60,2),""))</f>
        <v/>
      </c>
      <c r="K301" s="60" t="str">
        <f>IF(J301="","",IFERROR(MAX(1,ROUNDUP(J301/INDEX(po_cap,MATCH(I301,po_code,0)),0)),""))</f>
        <v/>
      </c>
      <c r="L301" s="61">
        <f>IF(K301="",0,IF(N(H301)&gt;0,H301,WORKDAY.INTL(MAX(p_start-1,SUMPRODUCT(MAX(($I$6:$I300=$I301)*$M$6:$M300))),1,p_weekend,p_holidays)))</f>
        <v>0.0</v>
      </c>
      <c r="M301" s="61">
        <f>IF(K301="",0,WORKDAY.INTL(L301,K301-1,p_weekend,p_holidays))</f>
        <v>0.0</v>
      </c>
      <c r="N301" s="62" t="str">
        <f>IF(OR(M301=0,N(F301)=0,G301="Terminé"),"",F301-M301)</f>
        <v/>
      </c>
      <c r="O301" s="58" t="str">
        <f>IF(B301="","",IF(G301="Annulé","Annulé",IF(G301="Terminé","Terminé",IF(M301=0,"À compléter",IF(N(F301)=0,"Sans échéance",IF(M301&gt;F301,"En retard",IF(F301-M301&lt;=p_margin,"Juste","À l'heure")))))))</f>
        <v/>
      </c>
      <c r="P301" s="55" t="n"/>
      <c r="Q301" s="63" t="str">
        <f>IF(OR(B301="",N(D301)&lt;=0),"",MIN(1,N(P301)/D301))</f>
        <v/>
      </c>
      <c r="R301" s="64" t="str">
        <f>IF(OR(J301="",ISNA(MATCH(I301,po_code,0))),"",ROUND(J301*N(INDEX(po_rate,MATCH(I301,po_code,0))),2))</f>
        <v/>
      </c>
      <c r="S301" s="58" t="str">
        <f>IF(AND(A301="",B301=""),"",IF(B301="","Référence manquante",IF(ISNA(MATCH($B301,art_ref,0)),"Référence inconnue",IF(N(D301)&lt;=0,"Quantité invalide",IF(AND(A301&lt;&gt;"",COUNTIF(of_num,A301)&gt;1),"N° OF en double",IF(G301="Annulé","OK",IF(I301="","Poste manquant (gamme)",IF(ISNA(MATCH(I301,po_code,0)),"Poste inconnu",IF(K301="","Capacité du poste nulle",IF(AND(H301&lt;&gt;"",N(H301)=0),"Début imposé invalide",IF(AND(N(H301)&gt;0,WORKDAY.INTL(H301-1,1,p_weekend,p_holidays)&lt;&gt;H301),"Début un jour chômé",IF(AND(N(H301)&gt;0,H301&lt;=SUMPRODUCT(MAX(($I$6:$I300=$I301)*$M$6:$M300))),"Chevauche l'OF précédent",IF(N(F301)=0,"Date de besoin manquante","OK")))))))))))))</f>
        <v/>
      </c>
      <c r="T301" s="65" t="str">
        <f>IF(K301="","",J301/K301)</f>
        <v/>
      </c>
      <c r="U301" s="66" t="str">
        <f>IF(OR(O301="En retard",O301="Juste"),COUNTIF($O$6:O301,"En retard")+COUNTIF($O$6:O301,"Juste"),"")</f>
        <v/>
      </c>
    </row>
    <row r="302">
      <c r="A302" s="53" t="n"/>
      <c r="B302" s="53" t="n"/>
      <c r="C302" s="54" t="str">
        <f>IF(B302="","",IFERROR(INDEX(art_des,MATCH($B302,art_ref,0)),"Référence inconnue"))</f>
        <v/>
      </c>
      <c r="D302" s="55" t="n"/>
      <c r="E302" s="53" t="n"/>
      <c r="F302" s="56" t="n"/>
      <c r="G302" s="57" t="n"/>
      <c r="H302" s="56" t="n"/>
      <c r="I302" s="58" t="str">
        <f>IF(B302="","",IFERROR(INDEX(art_poste,MATCH($B302,art_ref,0))&amp;"",""))</f>
        <v/>
      </c>
      <c r="J302" s="59" t="str">
        <f>IF(OR(B302="",G302="Annulé",N(D302)&lt;=0),"",IFERROR(ROUND(INDEX(art_setup,MATCH($B302,art_ref,0))+D302*INDEX(art_cycle,MATCH($B302,art_ref,0))/60,2),""))</f>
        <v/>
      </c>
      <c r="K302" s="60" t="str">
        <f>IF(J302="","",IFERROR(MAX(1,ROUNDUP(J302/INDEX(po_cap,MATCH(I302,po_code,0)),0)),""))</f>
        <v/>
      </c>
      <c r="L302" s="61">
        <f>IF(K302="",0,IF(N(H302)&gt;0,H302,WORKDAY.INTL(MAX(p_start-1,SUMPRODUCT(MAX(($I$6:$I301=$I302)*$M$6:$M301))),1,p_weekend,p_holidays)))</f>
        <v>0.0</v>
      </c>
      <c r="M302" s="61">
        <f>IF(K302="",0,WORKDAY.INTL(L302,K302-1,p_weekend,p_holidays))</f>
        <v>0.0</v>
      </c>
      <c r="N302" s="62" t="str">
        <f>IF(OR(M302=0,N(F302)=0,G302="Terminé"),"",F302-M302)</f>
        <v/>
      </c>
      <c r="O302" s="58" t="str">
        <f>IF(B302="","",IF(G302="Annulé","Annulé",IF(G302="Terminé","Terminé",IF(M302=0,"À compléter",IF(N(F302)=0,"Sans échéance",IF(M302&gt;F302,"En retard",IF(F302-M302&lt;=p_margin,"Juste","À l'heure")))))))</f>
        <v/>
      </c>
      <c r="P302" s="55" t="n"/>
      <c r="Q302" s="63" t="str">
        <f>IF(OR(B302="",N(D302)&lt;=0),"",MIN(1,N(P302)/D302))</f>
        <v/>
      </c>
      <c r="R302" s="64" t="str">
        <f>IF(OR(J302="",ISNA(MATCH(I302,po_code,0))),"",ROUND(J302*N(INDEX(po_rate,MATCH(I302,po_code,0))),2))</f>
        <v/>
      </c>
      <c r="S302" s="58" t="str">
        <f>IF(AND(A302="",B302=""),"",IF(B302="","Référence manquante",IF(ISNA(MATCH($B302,art_ref,0)),"Référence inconnue",IF(N(D302)&lt;=0,"Quantité invalide",IF(AND(A302&lt;&gt;"",COUNTIF(of_num,A302)&gt;1),"N° OF en double",IF(G302="Annulé","OK",IF(I302="","Poste manquant (gamme)",IF(ISNA(MATCH(I302,po_code,0)),"Poste inconnu",IF(K302="","Capacité du poste nulle",IF(AND(H302&lt;&gt;"",N(H302)=0),"Début imposé invalide",IF(AND(N(H302)&gt;0,WORKDAY.INTL(H302-1,1,p_weekend,p_holidays)&lt;&gt;H302),"Début un jour chômé",IF(AND(N(H302)&gt;0,H302&lt;=SUMPRODUCT(MAX(($I$6:$I301=$I302)*$M$6:$M301))),"Chevauche l'OF précédent",IF(N(F302)=0,"Date de besoin manquante","OK")))))))))))))</f>
        <v/>
      </c>
      <c r="T302" s="65" t="str">
        <f>IF(K302="","",J302/K302)</f>
        <v/>
      </c>
      <c r="U302" s="66" t="str">
        <f>IF(OR(O302="En retard",O302="Juste"),COUNTIF($O$6:O302,"En retard")+COUNTIF($O$6:O302,"Juste"),"")</f>
        <v/>
      </c>
    </row>
    <row r="303">
      <c r="A303" s="53" t="n"/>
      <c r="B303" s="53" t="n"/>
      <c r="C303" s="54" t="str">
        <f>IF(B303="","",IFERROR(INDEX(art_des,MATCH($B303,art_ref,0)),"Référence inconnue"))</f>
        <v/>
      </c>
      <c r="D303" s="55" t="n"/>
      <c r="E303" s="53" t="n"/>
      <c r="F303" s="56" t="n"/>
      <c r="G303" s="57" t="n"/>
      <c r="H303" s="56" t="n"/>
      <c r="I303" s="58" t="str">
        <f>IF(B303="","",IFERROR(INDEX(art_poste,MATCH($B303,art_ref,0))&amp;"",""))</f>
        <v/>
      </c>
      <c r="J303" s="59" t="str">
        <f>IF(OR(B303="",G303="Annulé",N(D303)&lt;=0),"",IFERROR(ROUND(INDEX(art_setup,MATCH($B303,art_ref,0))+D303*INDEX(art_cycle,MATCH($B303,art_ref,0))/60,2),""))</f>
        <v/>
      </c>
      <c r="K303" s="60" t="str">
        <f>IF(J303="","",IFERROR(MAX(1,ROUNDUP(J303/INDEX(po_cap,MATCH(I303,po_code,0)),0)),""))</f>
        <v/>
      </c>
      <c r="L303" s="61">
        <f>IF(K303="",0,IF(N(H303)&gt;0,H303,WORKDAY.INTL(MAX(p_start-1,SUMPRODUCT(MAX(($I$6:$I302=$I303)*$M$6:$M302))),1,p_weekend,p_holidays)))</f>
        <v>0.0</v>
      </c>
      <c r="M303" s="61">
        <f>IF(K303="",0,WORKDAY.INTL(L303,K303-1,p_weekend,p_holidays))</f>
        <v>0.0</v>
      </c>
      <c r="N303" s="62" t="str">
        <f>IF(OR(M303=0,N(F303)=0,G303="Terminé"),"",F303-M303)</f>
        <v/>
      </c>
      <c r="O303" s="58" t="str">
        <f>IF(B303="","",IF(G303="Annulé","Annulé",IF(G303="Terminé","Terminé",IF(M303=0,"À compléter",IF(N(F303)=0,"Sans échéance",IF(M303&gt;F303,"En retard",IF(F303-M303&lt;=p_margin,"Juste","À l'heure")))))))</f>
        <v/>
      </c>
      <c r="P303" s="55" t="n"/>
      <c r="Q303" s="63" t="str">
        <f>IF(OR(B303="",N(D303)&lt;=0),"",MIN(1,N(P303)/D303))</f>
        <v/>
      </c>
      <c r="R303" s="64" t="str">
        <f>IF(OR(J303="",ISNA(MATCH(I303,po_code,0))),"",ROUND(J303*N(INDEX(po_rate,MATCH(I303,po_code,0))),2))</f>
        <v/>
      </c>
      <c r="S303" s="58" t="str">
        <f>IF(AND(A303="",B303=""),"",IF(B303="","Référence manquante",IF(ISNA(MATCH($B303,art_ref,0)),"Référence inconnue",IF(N(D303)&lt;=0,"Quantité invalide",IF(AND(A303&lt;&gt;"",COUNTIF(of_num,A303)&gt;1),"N° OF en double",IF(G303="Annulé","OK",IF(I303="","Poste manquant (gamme)",IF(ISNA(MATCH(I303,po_code,0)),"Poste inconnu",IF(K303="","Capacité du poste nulle",IF(AND(H303&lt;&gt;"",N(H303)=0),"Début imposé invalide",IF(AND(N(H303)&gt;0,WORKDAY.INTL(H303-1,1,p_weekend,p_holidays)&lt;&gt;H303),"Début un jour chômé",IF(AND(N(H303)&gt;0,H303&lt;=SUMPRODUCT(MAX(($I$6:$I302=$I303)*$M$6:$M302))),"Chevauche l'OF précédent",IF(N(F303)=0,"Date de besoin manquante","OK")))))))))))))</f>
        <v/>
      </c>
      <c r="T303" s="65" t="str">
        <f>IF(K303="","",J303/K303)</f>
        <v/>
      </c>
      <c r="U303" s="66" t="str">
        <f>IF(OR(O303="En retard",O303="Juste"),COUNTIF($O$6:O303,"En retard")+COUNTIF($O$6:O303,"Juste"),"")</f>
        <v/>
      </c>
    </row>
    <row r="304">
      <c r="A304" s="53" t="n"/>
      <c r="B304" s="53" t="n"/>
      <c r="C304" s="54" t="str">
        <f>IF(B304="","",IFERROR(INDEX(art_des,MATCH($B304,art_ref,0)),"Référence inconnue"))</f>
        <v/>
      </c>
      <c r="D304" s="55" t="n"/>
      <c r="E304" s="53" t="n"/>
      <c r="F304" s="56" t="n"/>
      <c r="G304" s="57" t="n"/>
      <c r="H304" s="56" t="n"/>
      <c r="I304" s="58" t="str">
        <f>IF(B304="","",IFERROR(INDEX(art_poste,MATCH($B304,art_ref,0))&amp;"",""))</f>
        <v/>
      </c>
      <c r="J304" s="59" t="str">
        <f>IF(OR(B304="",G304="Annulé",N(D304)&lt;=0),"",IFERROR(ROUND(INDEX(art_setup,MATCH($B304,art_ref,0))+D304*INDEX(art_cycle,MATCH($B304,art_ref,0))/60,2),""))</f>
        <v/>
      </c>
      <c r="K304" s="60" t="str">
        <f>IF(J304="","",IFERROR(MAX(1,ROUNDUP(J304/INDEX(po_cap,MATCH(I304,po_code,0)),0)),""))</f>
        <v/>
      </c>
      <c r="L304" s="61">
        <f>IF(K304="",0,IF(N(H304)&gt;0,H304,WORKDAY.INTL(MAX(p_start-1,SUMPRODUCT(MAX(($I$6:$I303=$I304)*$M$6:$M303))),1,p_weekend,p_holidays)))</f>
        <v>0.0</v>
      </c>
      <c r="M304" s="61">
        <f>IF(K304="",0,WORKDAY.INTL(L304,K304-1,p_weekend,p_holidays))</f>
        <v>0.0</v>
      </c>
      <c r="N304" s="62" t="str">
        <f>IF(OR(M304=0,N(F304)=0,G304="Terminé"),"",F304-M304)</f>
        <v/>
      </c>
      <c r="O304" s="58" t="str">
        <f>IF(B304="","",IF(G304="Annulé","Annulé",IF(G304="Terminé","Terminé",IF(M304=0,"À compléter",IF(N(F304)=0,"Sans échéance",IF(M304&gt;F304,"En retard",IF(F304-M304&lt;=p_margin,"Juste","À l'heure")))))))</f>
        <v/>
      </c>
      <c r="P304" s="55" t="n"/>
      <c r="Q304" s="63" t="str">
        <f>IF(OR(B304="",N(D304)&lt;=0),"",MIN(1,N(P304)/D304))</f>
        <v/>
      </c>
      <c r="R304" s="64" t="str">
        <f>IF(OR(J304="",ISNA(MATCH(I304,po_code,0))),"",ROUND(J304*N(INDEX(po_rate,MATCH(I304,po_code,0))),2))</f>
        <v/>
      </c>
      <c r="S304" s="58" t="str">
        <f>IF(AND(A304="",B304=""),"",IF(B304="","Référence manquante",IF(ISNA(MATCH($B304,art_ref,0)),"Référence inconnue",IF(N(D304)&lt;=0,"Quantité invalide",IF(AND(A304&lt;&gt;"",COUNTIF(of_num,A304)&gt;1),"N° OF en double",IF(G304="Annulé","OK",IF(I304="","Poste manquant (gamme)",IF(ISNA(MATCH(I304,po_code,0)),"Poste inconnu",IF(K304="","Capacité du poste nulle",IF(AND(H304&lt;&gt;"",N(H304)=0),"Début imposé invalide",IF(AND(N(H304)&gt;0,WORKDAY.INTL(H304-1,1,p_weekend,p_holidays)&lt;&gt;H304),"Début un jour chômé",IF(AND(N(H304)&gt;0,H304&lt;=SUMPRODUCT(MAX(($I$6:$I303=$I304)*$M$6:$M303))),"Chevauche l'OF précédent",IF(N(F304)=0,"Date de besoin manquante","OK")))))))))))))</f>
        <v/>
      </c>
      <c r="T304" s="65" t="str">
        <f>IF(K304="","",J304/K304)</f>
        <v/>
      </c>
      <c r="U304" s="66" t="str">
        <f>IF(OR(O304="En retard",O304="Juste"),COUNTIF($O$6:O304,"En retard")+COUNTIF($O$6:O304,"Juste"),"")</f>
        <v/>
      </c>
    </row>
    <row r="305">
      <c r="A305" s="53" t="n"/>
      <c r="B305" s="53" t="n"/>
      <c r="C305" s="54" t="str">
        <f>IF(B305="","",IFERROR(INDEX(art_des,MATCH($B305,art_ref,0)),"Référence inconnue"))</f>
        <v/>
      </c>
      <c r="D305" s="55" t="n"/>
      <c r="E305" s="53" t="n"/>
      <c r="F305" s="56" t="n"/>
      <c r="G305" s="57" t="n"/>
      <c r="H305" s="56" t="n"/>
      <c r="I305" s="58" t="str">
        <f>IF(B305="","",IFERROR(INDEX(art_poste,MATCH($B305,art_ref,0))&amp;"",""))</f>
        <v/>
      </c>
      <c r="J305" s="59" t="str">
        <f>IF(OR(B305="",G305="Annulé",N(D305)&lt;=0),"",IFERROR(ROUND(INDEX(art_setup,MATCH($B305,art_ref,0))+D305*INDEX(art_cycle,MATCH($B305,art_ref,0))/60,2),""))</f>
        <v/>
      </c>
      <c r="K305" s="60" t="str">
        <f>IF(J305="","",IFERROR(MAX(1,ROUNDUP(J305/INDEX(po_cap,MATCH(I305,po_code,0)),0)),""))</f>
        <v/>
      </c>
      <c r="L305" s="61">
        <f>IF(K305="",0,IF(N(H305)&gt;0,H305,WORKDAY.INTL(MAX(p_start-1,SUMPRODUCT(MAX(($I$6:$I304=$I305)*$M$6:$M304))),1,p_weekend,p_holidays)))</f>
        <v>0.0</v>
      </c>
      <c r="M305" s="61">
        <f>IF(K305="",0,WORKDAY.INTL(L305,K305-1,p_weekend,p_holidays))</f>
        <v>0.0</v>
      </c>
      <c r="N305" s="62" t="str">
        <f>IF(OR(M305=0,N(F305)=0,G305="Terminé"),"",F305-M305)</f>
        <v/>
      </c>
      <c r="O305" s="58" t="str">
        <f>IF(B305="","",IF(G305="Annulé","Annulé",IF(G305="Terminé","Terminé",IF(M305=0,"À compléter",IF(N(F305)=0,"Sans échéance",IF(M305&gt;F305,"En retard",IF(F305-M305&lt;=p_margin,"Juste","À l'heure")))))))</f>
        <v/>
      </c>
      <c r="P305" s="55" t="n"/>
      <c r="Q305" s="63" t="str">
        <f>IF(OR(B305="",N(D305)&lt;=0),"",MIN(1,N(P305)/D305))</f>
        <v/>
      </c>
      <c r="R305" s="64" t="str">
        <f>IF(OR(J305="",ISNA(MATCH(I305,po_code,0))),"",ROUND(J305*N(INDEX(po_rate,MATCH(I305,po_code,0))),2))</f>
        <v/>
      </c>
      <c r="S305" s="58" t="str">
        <f>IF(AND(A305="",B305=""),"",IF(B305="","Référence manquante",IF(ISNA(MATCH($B305,art_ref,0)),"Référence inconnue",IF(N(D305)&lt;=0,"Quantité invalide",IF(AND(A305&lt;&gt;"",COUNTIF(of_num,A305)&gt;1),"N° OF en double",IF(G305="Annulé","OK",IF(I305="","Poste manquant (gamme)",IF(ISNA(MATCH(I305,po_code,0)),"Poste inconnu",IF(K305="","Capacité du poste nulle",IF(AND(H305&lt;&gt;"",N(H305)=0),"Début imposé invalide",IF(AND(N(H305)&gt;0,WORKDAY.INTL(H305-1,1,p_weekend,p_holidays)&lt;&gt;H305),"Début un jour chômé",IF(AND(N(H305)&gt;0,H305&lt;=SUMPRODUCT(MAX(($I$6:$I304=$I305)*$M$6:$M304))),"Chevauche l'OF précédent",IF(N(F305)=0,"Date de besoin manquante","OK")))))))))))))</f>
        <v/>
      </c>
      <c r="T305" s="65" t="str">
        <f>IF(K305="","",J305/K305)</f>
        <v/>
      </c>
      <c r="U305" s="66" t="str">
        <f>IF(OR(O305="En retard",O305="Juste"),COUNTIF($O$6:O305,"En retard")+COUNTIF($O$6:O305,"Juste"),"")</f>
        <v/>
      </c>
    </row>
  </sheetData>
  <autoFilter ref="A5:U305"/>
  <conditionalFormatting sqref="O6:O305">
    <cfRule type="expression" priority="1" dxfId="0">
      <formula>$O6="En retard"</formula>
    </cfRule>
    <cfRule type="expression" priority="2" dxfId="1">
      <formula>$O6="Juste"</formula>
    </cfRule>
    <cfRule type="expression" priority="3" dxfId="2">
      <formula>$O6="À l'heure"</formula>
    </cfRule>
    <cfRule type="expression" priority="4" dxfId="3">
      <formula>$O6="Terminé"</formula>
    </cfRule>
    <cfRule type="expression" priority="5" dxfId="4">
      <formula>$O6="Annulé"</formula>
    </cfRule>
    <cfRule type="expression" priority="6" dxfId="4">
      <formula>$O6="Sans échéance"</formula>
    </cfRule>
    <cfRule type="expression" priority="7" dxfId="5">
      <formula>$O6="À compléter"</formula>
    </cfRule>
  </conditionalFormatting>
  <conditionalFormatting sqref="S6:S305">
    <cfRule type="expression" priority="8" dxfId="2">
      <formula>$S6="OK"</formula>
    </cfRule>
    <cfRule type="expression" priority="9" dxfId="0">
      <formula>AND($S6&lt;&gt;"",$S6&lt;&gt;"OK")</formula>
    </cfRule>
  </conditionalFormatting>
  <conditionalFormatting sqref="Q6:Q305">
    <cfRule type="dataBar" priority="10">
      <dataBar showValue="1">
        <cfvo type="num" val="0"/>
        <cfvo type="num" val="1"/>
        <color rgb="004D7C0F"/>
      </dataBar>
    </cfRule>
  </conditionalFormatting>
  <conditionalFormatting sqref="R6:R305">
    <cfRule type="expression" priority="11" dxfId="6">
      <formula>p_currency="MAD"</formula>
    </cfRule>
    <cfRule type="expression" priority="12" dxfId="7">
      <formula>p_currency="EUR"</formula>
    </cfRule>
    <cfRule type="expression" priority="13" dxfId="8">
      <formula>p_currency="USD"</formula>
    </cfRule>
  </conditionalFormatting>
  <dataValidations count="6">
    <dataValidation sqref="B6:B305" showDropDown="0" showInputMessage="1" showErrorMessage="1" allowBlank="1" errorTitle="Référence" error="Choisissez l'article dans la liste (feuille « Gammes »)." promptTitle="Référence" prompt="Choisissez l'article dans la liste (feuille « Gammes »)." type="list">
      <formula1>=art_ref</formula1>
    </dataValidation>
    <dataValidation sqref="G6:G305" showDropDown="0" showInputMessage="1" showErrorMessage="1" allowBlank="1" errorTitle="Statut" error="À lancer, En cours, Terminé ou Annulé." promptTitle="Statut" prompt="À lancer, En cours, Terminé ou Annulé." type="list">
      <formula1>"À lancer,En cours,Terminé,Annulé"</formula1>
    </dataValidation>
    <dataValidation sqref="D6:D305" showDropDown="0" showInputMessage="1" showErrorMessage="1" allowBlank="1" errorTitle="Quantité" error="Quantité à fabriquer, supérieure à zéro." promptTitle="Quantité" prompt="Quantité à fabriquer, supérieure à zéro." type="decimal" operator="greaterThan">
      <formula1>0</formula1>
    </dataValidation>
    <dataValidation sqref="P6:P305" showDropDown="0" showInputMessage="1" showErrorMessage="1" allowBlank="1" errorTitle="Qté produite" error="Quantité déjà produite, pour suivre l'avancement." promptTitle="Qté produite" prompt="Quantité déjà produite, pour suivre l'avancement." type="decimal" operator="greaterThanOrEqual">
      <formula1>0</formula1>
    </dataValidation>
    <dataValidation sqref="F6:F305" showDropDown="0" showInputMessage="1" showErrorMessage="1" allowBlank="1" errorTitle="Date de besoin" error="Date à laquelle le client ou l'étape suivante a besoin des pièces (jj/mm/aaaa)." promptTitle="Date de besoin" prompt="Date à laquelle le client ou l'étape suivante a besoin des pièces (jj/mm/aaaa)." type="date" operator="between">
      <formula1>36526</formula1>
      <formula2>73051</formula2>
    </dataValidation>
    <dataValidation sqref="H6:H305" showDropDown="0" showInputMessage="1" showErrorMessage="1" allowBlank="1" errorTitle="Début imposé" error="Facultatif. Date de début forcée (OF déjà lancé, matière attendue). Laissez vide pour un calcul automatique." promptTitle="Début imposé" prompt="Facultatif. Date de début forcée (OF déjà lancé, matière attendue). Laissez vide pour un calcul automatique." type="date" operator="between">
      <formula1>36526</formula1>
      <formula2>73051</formula2>
    </dataValidation>
  </dataValidations>
  <hyperlinks>
    <hyperlink ref="S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4D7C0F"/>
    <outlinePr summaryBelow="1" summaryRight="1"/>
    <pageSetUpPr fitToPage="1"/>
  </sheetPr>
  <dimension ref="A1:BP106"/>
  <sheetViews>
    <sheetView showGridLines="0" tabSelected="0" zoomScale="100" workbookViewId="0">
      <pane xSplit="8" ySplit="6" topLeftCell="I7"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8" customWidth="1" min="3" max="3"/>
    <col width="10" customWidth="1" min="4" max="4"/>
    <col width="10" customWidth="1" min="5" max="5"/>
    <col width="10" customWidth="1" min="6" max="6"/>
    <col width="11" customWidth="1" min="7" max="7"/>
    <col width="1" customWidth="1" min="8" max="8"/>
    <col width="3.2" customWidth="1" min="9" max="9"/>
    <col width="3.2" customWidth="1" min="10" max="10"/>
    <col width="3.2"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 width="3.2" customWidth="1" min="33" max="33"/>
    <col width="3.2" customWidth="1" min="34" max="34"/>
    <col width="3.2" customWidth="1" min="35" max="35"/>
    <col width="3.2" customWidth="1" min="36" max="36"/>
    <col width="3.2" customWidth="1" min="37" max="37"/>
    <col width="3.2" customWidth="1" min="38" max="38"/>
    <col width="3.2" customWidth="1" min="39" max="39"/>
    <col width="3.2" customWidth="1" min="40" max="40"/>
    <col width="3.2" customWidth="1" min="41" max="41"/>
    <col width="3.2" customWidth="1" min="42" max="42"/>
    <col width="3.2" customWidth="1" min="43" max="43"/>
    <col width="3.2" customWidth="1" min="44" max="44"/>
    <col width="3.2" customWidth="1" min="45" max="45"/>
    <col width="3.2" customWidth="1" min="46" max="46"/>
    <col width="3.2" customWidth="1" min="47" max="47"/>
    <col width="3.2" customWidth="1" min="48" max="48"/>
    <col width="3.2" customWidth="1" min="49" max="49"/>
    <col width="3.2" customWidth="1" min="50" max="50"/>
    <col width="3.2" customWidth="1" min="51" max="51"/>
    <col width="3.2" customWidth="1" min="52" max="52"/>
    <col width="3.2" customWidth="1" min="53" max="53"/>
    <col width="3.2" customWidth="1" min="54" max="54"/>
    <col width="3.2" customWidth="1" min="55" max="55"/>
    <col width="3.2" customWidth="1" min="56" max="56"/>
    <col width="3.2" customWidth="1" min="57" max="57"/>
    <col width="3.2" customWidth="1" min="58" max="58"/>
    <col width="3.2" customWidth="1" min="59" max="59"/>
    <col width="3.2" customWidth="1" min="60" max="60"/>
    <col width="3.2" customWidth="1" min="61" max="61"/>
    <col width="3.2" customWidth="1" min="62" max="62"/>
    <col width="3.2" customWidth="1" min="63" max="63"/>
    <col width="3.2" customWidth="1" min="64" max="64"/>
    <col width="3.2" customWidth="1" min="65" max="65"/>
    <col width="3.2" customWidth="1" min="66" max="66"/>
    <col width="3.2" customWidth="1" min="67" max="67"/>
    <col width="3.2" customWidth="1" min="68" max="68"/>
  </cols>
  <sheetData>
    <row r="1" ht="38" customHeight="1">
      <c r="A1" s="2" t="inlineStr">
        <is>
          <t>Gantt</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c r="AO1" s="1" t="n"/>
      <c r="AP1" s="1" t="n"/>
      <c r="AQ1" s="1" t="n"/>
      <c r="AR1" s="1" t="n"/>
      <c r="AS1" s="1" t="n"/>
      <c r="AT1" s="1" t="n"/>
      <c r="AU1" s="1" t="n"/>
      <c r="AV1" s="1" t="n"/>
      <c r="AW1" s="1" t="n"/>
      <c r="AX1" s="1" t="n"/>
      <c r="AY1" s="1" t="n"/>
      <c r="AZ1" s="1" t="n"/>
      <c r="BA1" s="1" t="n"/>
      <c r="BB1" s="1" t="n"/>
      <c r="BC1" s="1" t="n"/>
      <c r="BD1" s="1" t="n"/>
      <c r="BE1" s="1" t="n"/>
      <c r="BF1" s="1" t="n"/>
      <c r="BG1" s="1" t="n"/>
      <c r="BH1" s="1" t="n"/>
      <c r="BI1" s="1" t="n"/>
      <c r="BJ1" s="1" t="n"/>
      <c r="BK1" s="1" t="n"/>
      <c r="BL1" s="1" t="n"/>
      <c r="BM1" s="1" t="n"/>
      <c r="BN1" s="1" t="n"/>
      <c r="BO1" s="1" t="n"/>
      <c r="BP1" s="18" t="inlineStr">
        <is>
          <t>⌂ Mode d'emploi</t>
        </is>
      </c>
    </row>
    <row r="2" ht="22" customHeight="1">
      <c r="A2" s="4" t="inlineStr">
        <is>
          <t>Les OF jour par jour, dans l'ordre de la feuille « Ordres de fabrication ». ◆ = date de besoin.</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c r="AC2" s="3" t="n"/>
      <c r="AD2" s="3" t="n"/>
      <c r="AE2" s="3" t="n"/>
      <c r="AF2" s="3" t="n"/>
      <c r="AG2" s="3" t="n"/>
      <c r="AH2" s="3" t="n"/>
      <c r="AI2" s="3" t="n"/>
      <c r="AJ2" s="3" t="n"/>
      <c r="AK2" s="3" t="n"/>
      <c r="AL2" s="3" t="n"/>
      <c r="AM2" s="3" t="n"/>
      <c r="AN2" s="3" t="n"/>
      <c r="AO2" s="3" t="n"/>
      <c r="AP2" s="3" t="n"/>
      <c r="AQ2" s="3" t="n"/>
      <c r="AR2" s="3" t="n"/>
      <c r="AS2" s="3" t="n"/>
      <c r="AT2" s="3" t="n"/>
      <c r="AU2" s="3" t="n"/>
      <c r="AV2" s="3" t="n"/>
      <c r="AW2" s="3" t="n"/>
      <c r="AX2" s="3" t="n"/>
      <c r="AY2" s="3" t="n"/>
      <c r="AZ2" s="3" t="n"/>
      <c r="BA2" s="3" t="n"/>
      <c r="BB2" s="3" t="n"/>
      <c r="BC2" s="3" t="n"/>
      <c r="BD2" s="3" t="n"/>
      <c r="BE2" s="3" t="n"/>
      <c r="BF2" s="3" t="n"/>
      <c r="BG2" s="3" t="n"/>
      <c r="BH2" s="3" t="n"/>
      <c r="BI2" s="3" t="n"/>
      <c r="BJ2" s="3" t="n"/>
      <c r="BK2" s="3" t="n"/>
      <c r="BL2" s="3" t="n"/>
      <c r="BM2" s="3" t="n"/>
      <c r="BN2" s="3" t="n"/>
      <c r="BO2" s="3" t="n"/>
      <c r="BP2" s="3" t="n"/>
    </row>
    <row r="3" ht="18" customHeight="1">
      <c r="A3" s="67" t="inlineStr">
        <is>
          <t>Légende :</t>
        </is>
      </c>
      <c r="B3" s="68" t="inlineStr">
        <is>
          <t>À l'heure</t>
        </is>
      </c>
      <c r="C3" s="69" t="inlineStr">
        <is>
          <t>Juste</t>
        </is>
      </c>
      <c r="D3" s="70" t="inlineStr">
        <is>
          <t>En retard</t>
        </is>
      </c>
      <c r="E3" s="71" t="inlineStr">
        <is>
          <t>Terminé</t>
        </is>
      </c>
      <c r="F3" s="72" t="inlineStr">
        <is>
          <t>Aujourd'hui</t>
        </is>
      </c>
    </row>
    <row r="5" ht="16" customHeight="1">
      <c r="I5" s="73" t="str">
        <f>CHOOSE(MONTH(I6),"jan","fév","mar","avr","mai","juin","juil","août","sep","oct","nov","déc")</f>
        <v>nov</v>
      </c>
      <c r="J5" s="73" t="str">
        <f>IF(MONTH(J6)&lt;&gt;MONTH(I6),CHOOSE(MONTH(J6),"jan","fév","mar","avr","mai","juin","juil","août","sep","oct","nov","déc"),"")</f>
        <v/>
      </c>
      <c r="K5" s="73" t="str">
        <f>IF(MONTH(K6)&lt;&gt;MONTH(J6),CHOOSE(MONTH(K6),"jan","fév","mar","avr","mai","juin","juil","août","sep","oct","nov","déc"),"")</f>
        <v/>
      </c>
      <c r="L5" s="73" t="str">
        <f>IF(MONTH(L6)&lt;&gt;MONTH(K6),CHOOSE(MONTH(L6),"jan","fév","mar","avr","mai","juin","juil","août","sep","oct","nov","déc"),"")</f>
        <v/>
      </c>
      <c r="M5" s="73" t="str">
        <f>IF(MONTH(M6)&lt;&gt;MONTH(L6),CHOOSE(MONTH(M6),"jan","fév","mar","avr","mai","juin","juil","août","sep","oct","nov","déc"),"")</f>
        <v/>
      </c>
      <c r="N5" s="73" t="str">
        <f>IF(MONTH(N6)&lt;&gt;MONTH(M6),CHOOSE(MONTH(N6),"jan","fév","mar","avr","mai","juin","juil","août","sep","oct","nov","déc"),"")</f>
        <v/>
      </c>
      <c r="O5" s="73" t="str">
        <f>IF(MONTH(O6)&lt;&gt;MONTH(N6),CHOOSE(MONTH(O6),"jan","fév","mar","avr","mai","juin","juil","août","sep","oct","nov","déc"),"")</f>
        <v/>
      </c>
      <c r="P5" s="73" t="str">
        <f>IF(MONTH(P6)&lt;&gt;MONTH(O6),CHOOSE(MONTH(P6),"jan","fév","mar","avr","mai","juin","juil","août","sep","oct","nov","déc"),"")</f>
        <v/>
      </c>
      <c r="Q5" s="73" t="str">
        <f>IF(MONTH(Q6)&lt;&gt;MONTH(P6),CHOOSE(MONTH(Q6),"jan","fév","mar","avr","mai","juin","juil","août","sep","oct","nov","déc"),"")</f>
        <v/>
      </c>
      <c r="R5" s="73" t="str">
        <f>IF(MONTH(R6)&lt;&gt;MONTH(Q6),CHOOSE(MONTH(R6),"jan","fév","mar","avr","mai","juin","juil","août","sep","oct","nov","déc"),"")</f>
        <v/>
      </c>
      <c r="S5" s="73" t="str">
        <f>IF(MONTH(S6)&lt;&gt;MONTH(R6),CHOOSE(MONTH(S6),"jan","fév","mar","avr","mai","juin","juil","août","sep","oct","nov","déc"),"")</f>
        <v/>
      </c>
      <c r="T5" s="73" t="str">
        <f>IF(MONTH(T6)&lt;&gt;MONTH(S6),CHOOSE(MONTH(T6),"jan","fév","mar","avr","mai","juin","juil","août","sep","oct","nov","déc"),"")</f>
        <v/>
      </c>
      <c r="U5" s="73" t="str">
        <f>IF(MONTH(U6)&lt;&gt;MONTH(T6),CHOOSE(MONTH(U6),"jan","fév","mar","avr","mai","juin","juil","août","sep","oct","nov","déc"),"")</f>
        <v/>
      </c>
      <c r="V5" s="73" t="str">
        <f>IF(MONTH(V6)&lt;&gt;MONTH(U6),CHOOSE(MONTH(V6),"jan","fév","mar","avr","mai","juin","juil","août","sep","oct","nov","déc"),"")</f>
        <v/>
      </c>
      <c r="W5" s="73" t="str">
        <f>IF(MONTH(W6)&lt;&gt;MONTH(V6),CHOOSE(MONTH(W6),"jan","fév","mar","avr","mai","juin","juil","août","sep","oct","nov","déc"),"")</f>
        <v/>
      </c>
      <c r="X5" s="73" t="str">
        <f>IF(MONTH(X6)&lt;&gt;MONTH(W6),CHOOSE(MONTH(X6),"jan","fév","mar","avr","mai","juin","juil","août","sep","oct","nov","déc"),"")</f>
        <v/>
      </c>
      <c r="Y5" s="73" t="str">
        <f>IF(MONTH(Y6)&lt;&gt;MONTH(X6),CHOOSE(MONTH(Y6),"jan","fév","mar","avr","mai","juin","juil","août","sep","oct","nov","déc"),"")</f>
        <v/>
      </c>
      <c r="Z5" s="73" t="str">
        <f>IF(MONTH(Z6)&lt;&gt;MONTH(Y6),CHOOSE(MONTH(Z6),"jan","fév","mar","avr","mai","juin","juil","août","sep","oct","nov","déc"),"")</f>
        <v/>
      </c>
      <c r="AA5" s="73" t="str">
        <f>IF(MONTH(AA6)&lt;&gt;MONTH(Z6),CHOOSE(MONTH(AA6),"jan","fév","mar","avr","mai","juin","juil","août","sep","oct","nov","déc"),"")</f>
        <v/>
      </c>
      <c r="AB5" s="73" t="str">
        <f>IF(MONTH(AB6)&lt;&gt;MONTH(AA6),CHOOSE(MONTH(AB6),"jan","fév","mar","avr","mai","juin","juil","août","sep","oct","nov","déc"),"")</f>
        <v>déc</v>
      </c>
      <c r="AC5" s="73" t="str">
        <f>IF(MONTH(AC6)&lt;&gt;MONTH(AB6),CHOOSE(MONTH(AC6),"jan","fév","mar","avr","mai","juin","juil","août","sep","oct","nov","déc"),"")</f>
        <v/>
      </c>
      <c r="AD5" s="73" t="str">
        <f>IF(MONTH(AD6)&lt;&gt;MONTH(AC6),CHOOSE(MONTH(AD6),"jan","fév","mar","avr","mai","juin","juil","août","sep","oct","nov","déc"),"")</f>
        <v/>
      </c>
      <c r="AE5" s="73" t="str">
        <f>IF(MONTH(AE6)&lt;&gt;MONTH(AD6),CHOOSE(MONTH(AE6),"jan","fév","mar","avr","mai","juin","juil","août","sep","oct","nov","déc"),"")</f>
        <v/>
      </c>
      <c r="AF5" s="73" t="str">
        <f>IF(MONTH(AF6)&lt;&gt;MONTH(AE6),CHOOSE(MONTH(AF6),"jan","fév","mar","avr","mai","juin","juil","août","sep","oct","nov","déc"),"")</f>
        <v/>
      </c>
      <c r="AG5" s="73" t="str">
        <f>IF(MONTH(AG6)&lt;&gt;MONTH(AF6),CHOOSE(MONTH(AG6),"jan","fév","mar","avr","mai","juin","juil","août","sep","oct","nov","déc"),"")</f>
        <v/>
      </c>
      <c r="AH5" s="73" t="str">
        <f>IF(MONTH(AH6)&lt;&gt;MONTH(AG6),CHOOSE(MONTH(AH6),"jan","fév","mar","avr","mai","juin","juil","août","sep","oct","nov","déc"),"")</f>
        <v/>
      </c>
      <c r="AI5" s="73" t="str">
        <f>IF(MONTH(AI6)&lt;&gt;MONTH(AH6),CHOOSE(MONTH(AI6),"jan","fév","mar","avr","mai","juin","juil","août","sep","oct","nov","déc"),"")</f>
        <v/>
      </c>
      <c r="AJ5" s="73" t="str">
        <f>IF(MONTH(AJ6)&lt;&gt;MONTH(AI6),CHOOSE(MONTH(AJ6),"jan","fév","mar","avr","mai","juin","juil","août","sep","oct","nov","déc"),"")</f>
        <v/>
      </c>
      <c r="AK5" s="73" t="str">
        <f>IF(MONTH(AK6)&lt;&gt;MONTH(AJ6),CHOOSE(MONTH(AK6),"jan","fév","mar","avr","mai","juin","juil","août","sep","oct","nov","déc"),"")</f>
        <v/>
      </c>
      <c r="AL5" s="73" t="str">
        <f>IF(MONTH(AL6)&lt;&gt;MONTH(AK6),CHOOSE(MONTH(AL6),"jan","fév","mar","avr","mai","juin","juil","août","sep","oct","nov","déc"),"")</f>
        <v/>
      </c>
      <c r="AM5" s="73" t="str">
        <f>IF(MONTH(AM6)&lt;&gt;MONTH(AL6),CHOOSE(MONTH(AM6),"jan","fév","mar","avr","mai","juin","juil","août","sep","oct","nov","déc"),"")</f>
        <v/>
      </c>
      <c r="AN5" s="73" t="str">
        <f>IF(MONTH(AN6)&lt;&gt;MONTH(AM6),CHOOSE(MONTH(AN6),"jan","fév","mar","avr","mai","juin","juil","août","sep","oct","nov","déc"),"")</f>
        <v/>
      </c>
      <c r="AO5" s="73" t="str">
        <f>IF(MONTH(AO6)&lt;&gt;MONTH(AN6),CHOOSE(MONTH(AO6),"jan","fév","mar","avr","mai","juin","juil","août","sep","oct","nov","déc"),"")</f>
        <v/>
      </c>
      <c r="AP5" s="73" t="str">
        <f>IF(MONTH(AP6)&lt;&gt;MONTH(AO6),CHOOSE(MONTH(AP6),"jan","fév","mar","avr","mai","juin","juil","août","sep","oct","nov","déc"),"")</f>
        <v/>
      </c>
      <c r="AQ5" s="73" t="str">
        <f>IF(MONTH(AQ6)&lt;&gt;MONTH(AP6),CHOOSE(MONTH(AQ6),"jan","fév","mar","avr","mai","juin","juil","août","sep","oct","nov","déc"),"")</f>
        <v/>
      </c>
      <c r="AR5" s="73" t="str">
        <f>IF(MONTH(AR6)&lt;&gt;MONTH(AQ6),CHOOSE(MONTH(AR6),"jan","fév","mar","avr","mai","juin","juil","août","sep","oct","nov","déc"),"")</f>
        <v/>
      </c>
      <c r="AS5" s="73" t="str">
        <f>IF(MONTH(AS6)&lt;&gt;MONTH(AR6),CHOOSE(MONTH(AS6),"jan","fév","mar","avr","mai","juin","juil","août","sep","oct","nov","déc"),"")</f>
        <v/>
      </c>
      <c r="AT5" s="73" t="str">
        <f>IF(MONTH(AT6)&lt;&gt;MONTH(AS6),CHOOSE(MONTH(AT6),"jan","fév","mar","avr","mai","juin","juil","août","sep","oct","nov","déc"),"")</f>
        <v/>
      </c>
      <c r="AU5" s="73" t="str">
        <f>IF(MONTH(AU6)&lt;&gt;MONTH(AT6),CHOOSE(MONTH(AU6),"jan","fév","mar","avr","mai","juin","juil","août","sep","oct","nov","déc"),"")</f>
        <v/>
      </c>
      <c r="AV5" s="73" t="str">
        <f>IF(MONTH(AV6)&lt;&gt;MONTH(AU6),CHOOSE(MONTH(AV6),"jan","fév","mar","avr","mai","juin","juil","août","sep","oct","nov","déc"),"")</f>
        <v/>
      </c>
      <c r="AW5" s="73" t="str">
        <f>IF(MONTH(AW6)&lt;&gt;MONTH(AV6),CHOOSE(MONTH(AW6),"jan","fév","mar","avr","mai","juin","juil","août","sep","oct","nov","déc"),"")</f>
        <v/>
      </c>
      <c r="AX5" s="73" t="str">
        <f>IF(MONTH(AX6)&lt;&gt;MONTH(AW6),CHOOSE(MONTH(AX6),"jan","fév","mar","avr","mai","juin","juil","août","sep","oct","nov","déc"),"")</f>
        <v/>
      </c>
      <c r="AY5" s="73" t="str">
        <f>IF(MONTH(AY6)&lt;&gt;MONTH(AX6),CHOOSE(MONTH(AY6),"jan","fév","mar","avr","mai","juin","juil","août","sep","oct","nov","déc"),"")</f>
        <v>jan</v>
      </c>
      <c r="AZ5" s="73" t="str">
        <f>IF(MONTH(AZ6)&lt;&gt;MONTH(AY6),CHOOSE(MONTH(AZ6),"jan","fév","mar","avr","mai","juin","juil","août","sep","oct","nov","déc"),"")</f>
        <v/>
      </c>
      <c r="BA5" s="73" t="str">
        <f>IF(MONTH(BA6)&lt;&gt;MONTH(AZ6),CHOOSE(MONTH(BA6),"jan","fév","mar","avr","mai","juin","juil","août","sep","oct","nov","déc"),"")</f>
        <v/>
      </c>
      <c r="BB5" s="73" t="str">
        <f>IF(MONTH(BB6)&lt;&gt;MONTH(BA6),CHOOSE(MONTH(BB6),"jan","fév","mar","avr","mai","juin","juil","août","sep","oct","nov","déc"),"")</f>
        <v/>
      </c>
      <c r="BC5" s="73" t="str">
        <f>IF(MONTH(BC6)&lt;&gt;MONTH(BB6),CHOOSE(MONTH(BC6),"jan","fév","mar","avr","mai","juin","juil","août","sep","oct","nov","déc"),"")</f>
        <v/>
      </c>
      <c r="BD5" s="73" t="str">
        <f>IF(MONTH(BD6)&lt;&gt;MONTH(BC6),CHOOSE(MONTH(BD6),"jan","fév","mar","avr","mai","juin","juil","août","sep","oct","nov","déc"),"")</f>
        <v/>
      </c>
      <c r="BE5" s="73" t="str">
        <f>IF(MONTH(BE6)&lt;&gt;MONTH(BD6),CHOOSE(MONTH(BE6),"jan","fév","mar","avr","mai","juin","juil","août","sep","oct","nov","déc"),"")</f>
        <v/>
      </c>
      <c r="BF5" s="73" t="str">
        <f>IF(MONTH(BF6)&lt;&gt;MONTH(BE6),CHOOSE(MONTH(BF6),"jan","fév","mar","avr","mai","juin","juil","août","sep","oct","nov","déc"),"")</f>
        <v/>
      </c>
      <c r="BG5" s="73" t="str">
        <f>IF(MONTH(BG6)&lt;&gt;MONTH(BF6),CHOOSE(MONTH(BG6),"jan","fév","mar","avr","mai","juin","juil","août","sep","oct","nov","déc"),"")</f>
        <v/>
      </c>
      <c r="BH5" s="73" t="str">
        <f>IF(MONTH(BH6)&lt;&gt;MONTH(BG6),CHOOSE(MONTH(BH6),"jan","fév","mar","avr","mai","juin","juil","août","sep","oct","nov","déc"),"")</f>
        <v/>
      </c>
      <c r="BI5" s="73" t="str">
        <f>IF(MONTH(BI6)&lt;&gt;MONTH(BH6),CHOOSE(MONTH(BI6),"jan","fév","mar","avr","mai","juin","juil","août","sep","oct","nov","déc"),"")</f>
        <v/>
      </c>
      <c r="BJ5" s="73" t="str">
        <f>IF(MONTH(BJ6)&lt;&gt;MONTH(BI6),CHOOSE(MONTH(BJ6),"jan","fév","mar","avr","mai","juin","juil","août","sep","oct","nov","déc"),"")</f>
        <v/>
      </c>
      <c r="BK5" s="73" t="str">
        <f>IF(MONTH(BK6)&lt;&gt;MONTH(BJ6),CHOOSE(MONTH(BK6),"jan","fév","mar","avr","mai","juin","juil","août","sep","oct","nov","déc"),"")</f>
        <v/>
      </c>
      <c r="BL5" s="73" t="str">
        <f>IF(MONTH(BL6)&lt;&gt;MONTH(BK6),CHOOSE(MONTH(BL6),"jan","fév","mar","avr","mai","juin","juil","août","sep","oct","nov","déc"),"")</f>
        <v/>
      </c>
      <c r="BM5" s="73" t="str">
        <f>IF(MONTH(BM6)&lt;&gt;MONTH(BL6),CHOOSE(MONTH(BM6),"jan","fév","mar","avr","mai","juin","juil","août","sep","oct","nov","déc"),"")</f>
        <v/>
      </c>
      <c r="BN5" s="73" t="str">
        <f>IF(MONTH(BN6)&lt;&gt;MONTH(BM6),CHOOSE(MONTH(BN6),"jan","fév","mar","avr","mai","juin","juil","août","sep","oct","nov","déc"),"")</f>
        <v/>
      </c>
      <c r="BO5" s="73" t="str">
        <f>IF(MONTH(BO6)&lt;&gt;MONTH(BN6),CHOOSE(MONTH(BO6),"jan","fév","mar","avr","mai","juin","juil","août","sep","oct","nov","déc"),"")</f>
        <v/>
      </c>
      <c r="BP5" s="73" t="str">
        <f>IF(MONTH(BP6)&lt;&gt;MONTH(BO6),CHOOSE(MONTH(BP6),"jan","fév","mar","avr","mai","juin","juil","août","sep","oct","nov","déc"),"")</f>
        <v/>
      </c>
    </row>
    <row r="6" ht="20" customHeight="1">
      <c r="A6" s="42" t="inlineStr">
        <is>
          <t>N° OF</t>
        </is>
      </c>
      <c r="B6" s="42" t="inlineStr">
        <is>
          <t>Désignation</t>
        </is>
      </c>
      <c r="C6" s="42" t="inlineStr">
        <is>
          <t>Poste</t>
        </is>
      </c>
      <c r="D6" s="42" t="inlineStr">
        <is>
          <t>Début</t>
        </is>
      </c>
      <c r="E6" s="42" t="inlineStr">
        <is>
          <t>Fin</t>
        </is>
      </c>
      <c r="F6" s="42" t="inlineStr">
        <is>
          <t>Besoin</t>
        </is>
      </c>
      <c r="G6" s="42" t="inlineStr">
        <is>
          <t>État</t>
        </is>
      </c>
      <c r="I6" s="74">
        <f>WORKDAY.INTL(p_gantt-1,1,p_weekend,p_holidays)</f>
        <v>46328.0</v>
      </c>
      <c r="J6" s="74">
        <f>WORKDAY.INTL(I6,1,p_weekend,p_holidays)</f>
        <v>46329.0</v>
      </c>
      <c r="K6" s="74">
        <f>WORKDAY.INTL(J6,1,p_weekend,p_holidays)</f>
        <v>46330.0</v>
      </c>
      <c r="L6" s="74">
        <f>WORKDAY.INTL(K6,1,p_weekend,p_holidays)</f>
        <v>46331.0</v>
      </c>
      <c r="M6" s="74">
        <f>WORKDAY.INTL(L6,1,p_weekend,p_holidays)</f>
        <v>46335.0</v>
      </c>
      <c r="N6" s="74">
        <f>WORKDAY.INTL(M6,1,p_weekend,p_holidays)</f>
        <v>46336.0</v>
      </c>
      <c r="O6" s="74">
        <f>WORKDAY.INTL(N6,1,p_weekend,p_holidays)</f>
        <v>46337.0</v>
      </c>
      <c r="P6" s="74">
        <f>WORKDAY.INTL(O6,1,p_weekend,p_holidays)</f>
        <v>46338.0</v>
      </c>
      <c r="Q6" s="74">
        <f>WORKDAY.INTL(P6,1,p_weekend,p_holidays)</f>
        <v>46339.0</v>
      </c>
      <c r="R6" s="74">
        <f>WORKDAY.INTL(Q6,1,p_weekend,p_holidays)</f>
        <v>46342.0</v>
      </c>
      <c r="S6" s="74">
        <f>WORKDAY.INTL(R6,1,p_weekend,p_holidays)</f>
        <v>46343.0</v>
      </c>
      <c r="T6" s="74">
        <f>WORKDAY.INTL(S6,1,p_weekend,p_holidays)</f>
        <v>46345.0</v>
      </c>
      <c r="U6" s="74">
        <f>WORKDAY.INTL(T6,1,p_weekend,p_holidays)</f>
        <v>46346.0</v>
      </c>
      <c r="V6" s="74">
        <f>WORKDAY.INTL(U6,1,p_weekend,p_holidays)</f>
        <v>46349.0</v>
      </c>
      <c r="W6" s="74">
        <f>WORKDAY.INTL(V6,1,p_weekend,p_holidays)</f>
        <v>46350.0</v>
      </c>
      <c r="X6" s="74">
        <f>WORKDAY.INTL(W6,1,p_weekend,p_holidays)</f>
        <v>46351.0</v>
      </c>
      <c r="Y6" s="74">
        <f>WORKDAY.INTL(X6,1,p_weekend,p_holidays)</f>
        <v>46352.0</v>
      </c>
      <c r="Z6" s="74">
        <f>WORKDAY.INTL(Y6,1,p_weekend,p_holidays)</f>
        <v>46353.0</v>
      </c>
      <c r="AA6" s="74">
        <f>WORKDAY.INTL(Z6,1,p_weekend,p_holidays)</f>
        <v>46356.0</v>
      </c>
      <c r="AB6" s="74">
        <f>WORKDAY.INTL(AA6,1,p_weekend,p_holidays)</f>
        <v>46357.0</v>
      </c>
      <c r="AC6" s="74">
        <f>WORKDAY.INTL(AB6,1,p_weekend,p_holidays)</f>
        <v>46358.0</v>
      </c>
      <c r="AD6" s="74">
        <f>WORKDAY.INTL(AC6,1,p_weekend,p_holidays)</f>
        <v>46359.0</v>
      </c>
      <c r="AE6" s="74">
        <f>WORKDAY.INTL(AD6,1,p_weekend,p_holidays)</f>
        <v>46360.0</v>
      </c>
      <c r="AF6" s="74">
        <f>WORKDAY.INTL(AE6,1,p_weekend,p_holidays)</f>
        <v>46363.0</v>
      </c>
      <c r="AG6" s="74">
        <f>WORKDAY.INTL(AF6,1,p_weekend,p_holidays)</f>
        <v>46364.0</v>
      </c>
      <c r="AH6" s="74">
        <f>WORKDAY.INTL(AG6,1,p_weekend,p_holidays)</f>
        <v>46365.0</v>
      </c>
      <c r="AI6" s="74">
        <f>WORKDAY.INTL(AH6,1,p_weekend,p_holidays)</f>
        <v>46366.0</v>
      </c>
      <c r="AJ6" s="74">
        <f>WORKDAY.INTL(AI6,1,p_weekend,p_holidays)</f>
        <v>46367.0</v>
      </c>
      <c r="AK6" s="74">
        <f>WORKDAY.INTL(AJ6,1,p_weekend,p_holidays)</f>
        <v>46370.0</v>
      </c>
      <c r="AL6" s="74">
        <f>WORKDAY.INTL(AK6,1,p_weekend,p_holidays)</f>
        <v>46371.0</v>
      </c>
      <c r="AM6" s="74">
        <f>WORKDAY.INTL(AL6,1,p_weekend,p_holidays)</f>
        <v>46372.0</v>
      </c>
      <c r="AN6" s="74">
        <f>WORKDAY.INTL(AM6,1,p_weekend,p_holidays)</f>
        <v>46373.0</v>
      </c>
      <c r="AO6" s="74">
        <f>WORKDAY.INTL(AN6,1,p_weekend,p_holidays)</f>
        <v>46374.0</v>
      </c>
      <c r="AP6" s="74">
        <f>WORKDAY.INTL(AO6,1,p_weekend,p_holidays)</f>
        <v>46377.0</v>
      </c>
      <c r="AQ6" s="74">
        <f>WORKDAY.INTL(AP6,1,p_weekend,p_holidays)</f>
        <v>46378.0</v>
      </c>
      <c r="AR6" s="74">
        <f>WORKDAY.INTL(AQ6,1,p_weekend,p_holidays)</f>
        <v>46379.0</v>
      </c>
      <c r="AS6" s="74">
        <f>WORKDAY.INTL(AR6,1,p_weekend,p_holidays)</f>
        <v>46380.0</v>
      </c>
      <c r="AT6" s="74">
        <f>WORKDAY.INTL(AS6,1,p_weekend,p_holidays)</f>
        <v>46381.0</v>
      </c>
      <c r="AU6" s="74">
        <f>WORKDAY.INTL(AT6,1,p_weekend,p_holidays)</f>
        <v>46384.0</v>
      </c>
      <c r="AV6" s="74">
        <f>WORKDAY.INTL(AU6,1,p_weekend,p_holidays)</f>
        <v>46385.0</v>
      </c>
      <c r="AW6" s="74">
        <f>WORKDAY.INTL(AV6,1,p_weekend,p_holidays)</f>
        <v>46386.0</v>
      </c>
      <c r="AX6" s="74">
        <f>WORKDAY.INTL(AW6,1,p_weekend,p_holidays)</f>
        <v>46387.0</v>
      </c>
      <c r="AY6" s="74">
        <f>WORKDAY.INTL(AX6,1,p_weekend,p_holidays)</f>
        <v>46391.0</v>
      </c>
      <c r="AZ6" s="74">
        <f>WORKDAY.INTL(AY6,1,p_weekend,p_holidays)</f>
        <v>46392.0</v>
      </c>
      <c r="BA6" s="74">
        <f>WORKDAY.INTL(AZ6,1,p_weekend,p_holidays)</f>
        <v>46393.0</v>
      </c>
      <c r="BB6" s="74">
        <f>WORKDAY.INTL(BA6,1,p_weekend,p_holidays)</f>
        <v>46394.0</v>
      </c>
      <c r="BC6" s="74">
        <f>WORKDAY.INTL(BB6,1,p_weekend,p_holidays)</f>
        <v>46395.0</v>
      </c>
      <c r="BD6" s="74">
        <f>WORKDAY.INTL(BC6,1,p_weekend,p_holidays)</f>
        <v>46399.0</v>
      </c>
      <c r="BE6" s="74">
        <f>WORKDAY.INTL(BD6,1,p_weekend,p_holidays)</f>
        <v>46400.0</v>
      </c>
      <c r="BF6" s="74">
        <f>WORKDAY.INTL(BE6,1,p_weekend,p_holidays)</f>
        <v>46402.0</v>
      </c>
      <c r="BG6" s="74">
        <f>WORKDAY.INTL(BF6,1,p_weekend,p_holidays)</f>
        <v>46405.0</v>
      </c>
      <c r="BH6" s="74">
        <f>WORKDAY.INTL(BG6,1,p_weekend,p_holidays)</f>
        <v>46406.0</v>
      </c>
      <c r="BI6" s="74">
        <f>WORKDAY.INTL(BH6,1,p_weekend,p_holidays)</f>
        <v>46407.0</v>
      </c>
      <c r="BJ6" s="74">
        <f>WORKDAY.INTL(BI6,1,p_weekend,p_holidays)</f>
        <v>46408.0</v>
      </c>
      <c r="BK6" s="74">
        <f>WORKDAY.INTL(BJ6,1,p_weekend,p_holidays)</f>
        <v>46409.0</v>
      </c>
      <c r="BL6" s="74">
        <f>WORKDAY.INTL(BK6,1,p_weekend,p_holidays)</f>
        <v>46412.0</v>
      </c>
      <c r="BM6" s="74">
        <f>WORKDAY.INTL(BL6,1,p_weekend,p_holidays)</f>
        <v>46413.0</v>
      </c>
      <c r="BN6" s="74">
        <f>WORKDAY.INTL(BM6,1,p_weekend,p_holidays)</f>
        <v>46414.0</v>
      </c>
      <c r="BO6" s="74">
        <f>WORKDAY.INTL(BN6,1,p_weekend,p_holidays)</f>
        <v>46415.0</v>
      </c>
      <c r="BP6" s="74">
        <f>WORKDAY.INTL(BO6,1,p_weekend,p_holidays)</f>
        <v>46416.0</v>
      </c>
    </row>
    <row r="7">
      <c r="A7" s="75" t="str">
        <f>IF(INDEX(of_ref,1)="","",INDEX(of_num,1)&amp;"")</f>
        <v>OF-2611-001</v>
      </c>
      <c r="B7" s="75" t="str">
        <f>IF(INDEX(of_ref,1)="","",INDEX(of_des,1)&amp;"")</f>
        <v>Axe de roue Ø20</v>
      </c>
      <c r="C7" s="76" t="str">
        <f>IF(INDEX(of_ref,1)="","",INDEX(of_poste,1)&amp;"")</f>
        <v>TOUR</v>
      </c>
      <c r="D7" s="77">
        <f>INDEX(of_start,1)</f>
        <v>46323.0</v>
      </c>
      <c r="E7" s="77">
        <f>INDEX(of_end,1)</f>
        <v>46324.0</v>
      </c>
      <c r="F7" s="77">
        <f>IF(N(INDEX(of_need,1))=0,0,INDEX(of_need,1))</f>
        <v>46332.0</v>
      </c>
      <c r="G7" s="76" t="str">
        <f>IF(INDEX(of_ref,1)="","",INDEX(of_etat,1)&amp;"")</f>
        <v>Terminé</v>
      </c>
      <c r="I7" s="78" t="str">
        <f>IF(AND($D7&gt;0,I$6&gt;=$D7,I$6&lt;=$E7),1,IF(AND($F7&gt;0,I$6=$F7),"◆",""))</f>
        <v/>
      </c>
      <c r="J7" s="78" t="str">
        <f>IF(AND($D7&gt;0,J$6&gt;=$D7,J$6&lt;=$E7),1,IF(AND($F7&gt;0,J$6=$F7),"◆",""))</f>
        <v/>
      </c>
      <c r="K7" s="78" t="str">
        <f>IF(AND($D7&gt;0,K$6&gt;=$D7,K$6&lt;=$E7),1,IF(AND($F7&gt;0,K$6=$F7),"◆",""))</f>
        <v/>
      </c>
      <c r="L7" s="78" t="str">
        <f>IF(AND($D7&gt;0,L$6&gt;=$D7,L$6&lt;=$E7),1,IF(AND($F7&gt;0,L$6=$F7),"◆",""))</f>
        <v/>
      </c>
      <c r="M7" s="78" t="str">
        <f>IF(AND($D7&gt;0,M$6&gt;=$D7,M$6&lt;=$E7),1,IF(AND($F7&gt;0,M$6=$F7),"◆",""))</f>
        <v/>
      </c>
      <c r="N7" s="78" t="str">
        <f>IF(AND($D7&gt;0,N$6&gt;=$D7,N$6&lt;=$E7),1,IF(AND($F7&gt;0,N$6=$F7),"◆",""))</f>
        <v/>
      </c>
      <c r="O7" s="78" t="str">
        <f>IF(AND($D7&gt;0,O$6&gt;=$D7,O$6&lt;=$E7),1,IF(AND($F7&gt;0,O$6=$F7),"◆",""))</f>
        <v/>
      </c>
      <c r="P7" s="78" t="str">
        <f>IF(AND($D7&gt;0,P$6&gt;=$D7,P$6&lt;=$E7),1,IF(AND($F7&gt;0,P$6=$F7),"◆",""))</f>
        <v/>
      </c>
      <c r="Q7" s="78" t="str">
        <f>IF(AND($D7&gt;0,Q$6&gt;=$D7,Q$6&lt;=$E7),1,IF(AND($F7&gt;0,Q$6=$F7),"◆",""))</f>
        <v/>
      </c>
      <c r="R7" s="78" t="str">
        <f>IF(AND($D7&gt;0,R$6&gt;=$D7,R$6&lt;=$E7),1,IF(AND($F7&gt;0,R$6=$F7),"◆",""))</f>
        <v/>
      </c>
      <c r="S7" s="78" t="str">
        <f>IF(AND($D7&gt;0,S$6&gt;=$D7,S$6&lt;=$E7),1,IF(AND($F7&gt;0,S$6=$F7),"◆",""))</f>
        <v/>
      </c>
      <c r="T7" s="78" t="str">
        <f>IF(AND($D7&gt;0,T$6&gt;=$D7,T$6&lt;=$E7),1,IF(AND($F7&gt;0,T$6=$F7),"◆",""))</f>
        <v/>
      </c>
      <c r="U7" s="78" t="str">
        <f>IF(AND($D7&gt;0,U$6&gt;=$D7,U$6&lt;=$E7),1,IF(AND($F7&gt;0,U$6=$F7),"◆",""))</f>
        <v/>
      </c>
      <c r="V7" s="78" t="str">
        <f>IF(AND($D7&gt;0,V$6&gt;=$D7,V$6&lt;=$E7),1,IF(AND($F7&gt;0,V$6=$F7),"◆",""))</f>
        <v/>
      </c>
      <c r="W7" s="78" t="str">
        <f>IF(AND($D7&gt;0,W$6&gt;=$D7,W$6&lt;=$E7),1,IF(AND($F7&gt;0,W$6=$F7),"◆",""))</f>
        <v/>
      </c>
      <c r="X7" s="78" t="str">
        <f>IF(AND($D7&gt;0,X$6&gt;=$D7,X$6&lt;=$E7),1,IF(AND($F7&gt;0,X$6=$F7),"◆",""))</f>
        <v/>
      </c>
      <c r="Y7" s="78" t="str">
        <f>IF(AND($D7&gt;0,Y$6&gt;=$D7,Y$6&lt;=$E7),1,IF(AND($F7&gt;0,Y$6=$F7),"◆",""))</f>
        <v/>
      </c>
      <c r="Z7" s="78" t="str">
        <f>IF(AND($D7&gt;0,Z$6&gt;=$D7,Z$6&lt;=$E7),1,IF(AND($F7&gt;0,Z$6=$F7),"◆",""))</f>
        <v/>
      </c>
      <c r="AA7" s="78" t="str">
        <f>IF(AND($D7&gt;0,AA$6&gt;=$D7,AA$6&lt;=$E7),1,IF(AND($F7&gt;0,AA$6=$F7),"◆",""))</f>
        <v/>
      </c>
      <c r="AB7" s="78" t="str">
        <f>IF(AND($D7&gt;0,AB$6&gt;=$D7,AB$6&lt;=$E7),1,IF(AND($F7&gt;0,AB$6=$F7),"◆",""))</f>
        <v/>
      </c>
      <c r="AC7" s="78" t="str">
        <f>IF(AND($D7&gt;0,AC$6&gt;=$D7,AC$6&lt;=$E7),1,IF(AND($F7&gt;0,AC$6=$F7),"◆",""))</f>
        <v/>
      </c>
      <c r="AD7" s="78" t="str">
        <f>IF(AND($D7&gt;0,AD$6&gt;=$D7,AD$6&lt;=$E7),1,IF(AND($F7&gt;0,AD$6=$F7),"◆",""))</f>
        <v/>
      </c>
      <c r="AE7" s="78" t="str">
        <f>IF(AND($D7&gt;0,AE$6&gt;=$D7,AE$6&lt;=$E7),1,IF(AND($F7&gt;0,AE$6=$F7),"◆",""))</f>
        <v/>
      </c>
      <c r="AF7" s="78" t="str">
        <f>IF(AND($D7&gt;0,AF$6&gt;=$D7,AF$6&lt;=$E7),1,IF(AND($F7&gt;0,AF$6=$F7),"◆",""))</f>
        <v/>
      </c>
      <c r="AG7" s="78" t="str">
        <f>IF(AND($D7&gt;0,AG$6&gt;=$D7,AG$6&lt;=$E7),1,IF(AND($F7&gt;0,AG$6=$F7),"◆",""))</f>
        <v/>
      </c>
      <c r="AH7" s="78" t="str">
        <f>IF(AND($D7&gt;0,AH$6&gt;=$D7,AH$6&lt;=$E7),1,IF(AND($F7&gt;0,AH$6=$F7),"◆",""))</f>
        <v/>
      </c>
      <c r="AI7" s="78" t="str">
        <f>IF(AND($D7&gt;0,AI$6&gt;=$D7,AI$6&lt;=$E7),1,IF(AND($F7&gt;0,AI$6=$F7),"◆",""))</f>
        <v/>
      </c>
      <c r="AJ7" s="78" t="str">
        <f>IF(AND($D7&gt;0,AJ$6&gt;=$D7,AJ$6&lt;=$E7),1,IF(AND($F7&gt;0,AJ$6=$F7),"◆",""))</f>
        <v/>
      </c>
      <c r="AK7" s="78" t="str">
        <f>IF(AND($D7&gt;0,AK$6&gt;=$D7,AK$6&lt;=$E7),1,IF(AND($F7&gt;0,AK$6=$F7),"◆",""))</f>
        <v/>
      </c>
      <c r="AL7" s="78" t="str">
        <f>IF(AND($D7&gt;0,AL$6&gt;=$D7,AL$6&lt;=$E7),1,IF(AND($F7&gt;0,AL$6=$F7),"◆",""))</f>
        <v/>
      </c>
      <c r="AM7" s="78" t="str">
        <f>IF(AND($D7&gt;0,AM$6&gt;=$D7,AM$6&lt;=$E7),1,IF(AND($F7&gt;0,AM$6=$F7),"◆",""))</f>
        <v/>
      </c>
      <c r="AN7" s="78" t="str">
        <f>IF(AND($D7&gt;0,AN$6&gt;=$D7,AN$6&lt;=$E7),1,IF(AND($F7&gt;0,AN$6=$F7),"◆",""))</f>
        <v/>
      </c>
      <c r="AO7" s="78" t="str">
        <f>IF(AND($D7&gt;0,AO$6&gt;=$D7,AO$6&lt;=$E7),1,IF(AND($F7&gt;0,AO$6=$F7),"◆",""))</f>
        <v/>
      </c>
      <c r="AP7" s="78" t="str">
        <f>IF(AND($D7&gt;0,AP$6&gt;=$D7,AP$6&lt;=$E7),1,IF(AND($F7&gt;0,AP$6=$F7),"◆",""))</f>
        <v/>
      </c>
      <c r="AQ7" s="78" t="str">
        <f>IF(AND($D7&gt;0,AQ$6&gt;=$D7,AQ$6&lt;=$E7),1,IF(AND($F7&gt;0,AQ$6=$F7),"◆",""))</f>
        <v/>
      </c>
      <c r="AR7" s="78" t="str">
        <f>IF(AND($D7&gt;0,AR$6&gt;=$D7,AR$6&lt;=$E7),1,IF(AND($F7&gt;0,AR$6=$F7),"◆",""))</f>
        <v/>
      </c>
      <c r="AS7" s="78" t="str">
        <f>IF(AND($D7&gt;0,AS$6&gt;=$D7,AS$6&lt;=$E7),1,IF(AND($F7&gt;0,AS$6=$F7),"◆",""))</f>
        <v/>
      </c>
      <c r="AT7" s="78" t="str">
        <f>IF(AND($D7&gt;0,AT$6&gt;=$D7,AT$6&lt;=$E7),1,IF(AND($F7&gt;0,AT$6=$F7),"◆",""))</f>
        <v/>
      </c>
      <c r="AU7" s="78" t="str">
        <f>IF(AND($D7&gt;0,AU$6&gt;=$D7,AU$6&lt;=$E7),1,IF(AND($F7&gt;0,AU$6=$F7),"◆",""))</f>
        <v/>
      </c>
      <c r="AV7" s="78" t="str">
        <f>IF(AND($D7&gt;0,AV$6&gt;=$D7,AV$6&lt;=$E7),1,IF(AND($F7&gt;0,AV$6=$F7),"◆",""))</f>
        <v/>
      </c>
      <c r="AW7" s="78" t="str">
        <f>IF(AND($D7&gt;0,AW$6&gt;=$D7,AW$6&lt;=$E7),1,IF(AND($F7&gt;0,AW$6=$F7),"◆",""))</f>
        <v/>
      </c>
      <c r="AX7" s="78" t="str">
        <f>IF(AND($D7&gt;0,AX$6&gt;=$D7,AX$6&lt;=$E7),1,IF(AND($F7&gt;0,AX$6=$F7),"◆",""))</f>
        <v/>
      </c>
      <c r="AY7" s="78" t="str">
        <f>IF(AND($D7&gt;0,AY$6&gt;=$D7,AY$6&lt;=$E7),1,IF(AND($F7&gt;0,AY$6=$F7),"◆",""))</f>
        <v/>
      </c>
      <c r="AZ7" s="78" t="str">
        <f>IF(AND($D7&gt;0,AZ$6&gt;=$D7,AZ$6&lt;=$E7),1,IF(AND($F7&gt;0,AZ$6=$F7),"◆",""))</f>
        <v/>
      </c>
      <c r="BA7" s="78" t="str">
        <f>IF(AND($D7&gt;0,BA$6&gt;=$D7,BA$6&lt;=$E7),1,IF(AND($F7&gt;0,BA$6=$F7),"◆",""))</f>
        <v/>
      </c>
      <c r="BB7" s="78" t="str">
        <f>IF(AND($D7&gt;0,BB$6&gt;=$D7,BB$6&lt;=$E7),1,IF(AND($F7&gt;0,BB$6=$F7),"◆",""))</f>
        <v/>
      </c>
      <c r="BC7" s="78" t="str">
        <f>IF(AND($D7&gt;0,BC$6&gt;=$D7,BC$6&lt;=$E7),1,IF(AND($F7&gt;0,BC$6=$F7),"◆",""))</f>
        <v/>
      </c>
      <c r="BD7" s="78" t="str">
        <f>IF(AND($D7&gt;0,BD$6&gt;=$D7,BD$6&lt;=$E7),1,IF(AND($F7&gt;0,BD$6=$F7),"◆",""))</f>
        <v/>
      </c>
      <c r="BE7" s="78" t="str">
        <f>IF(AND($D7&gt;0,BE$6&gt;=$D7,BE$6&lt;=$E7),1,IF(AND($F7&gt;0,BE$6=$F7),"◆",""))</f>
        <v/>
      </c>
      <c r="BF7" s="78" t="str">
        <f>IF(AND($D7&gt;0,BF$6&gt;=$D7,BF$6&lt;=$E7),1,IF(AND($F7&gt;0,BF$6=$F7),"◆",""))</f>
        <v/>
      </c>
      <c r="BG7" s="78" t="str">
        <f>IF(AND($D7&gt;0,BG$6&gt;=$D7,BG$6&lt;=$E7),1,IF(AND($F7&gt;0,BG$6=$F7),"◆",""))</f>
        <v/>
      </c>
      <c r="BH7" s="78" t="str">
        <f>IF(AND($D7&gt;0,BH$6&gt;=$D7,BH$6&lt;=$E7),1,IF(AND($F7&gt;0,BH$6=$F7),"◆",""))</f>
        <v/>
      </c>
      <c r="BI7" s="78" t="str">
        <f>IF(AND($D7&gt;0,BI$6&gt;=$D7,BI$6&lt;=$E7),1,IF(AND($F7&gt;0,BI$6=$F7),"◆",""))</f>
        <v/>
      </c>
      <c r="BJ7" s="78" t="str">
        <f>IF(AND($D7&gt;0,BJ$6&gt;=$D7,BJ$6&lt;=$E7),1,IF(AND($F7&gt;0,BJ$6=$F7),"◆",""))</f>
        <v/>
      </c>
      <c r="BK7" s="78" t="str">
        <f>IF(AND($D7&gt;0,BK$6&gt;=$D7,BK$6&lt;=$E7),1,IF(AND($F7&gt;0,BK$6=$F7),"◆",""))</f>
        <v/>
      </c>
      <c r="BL7" s="78" t="str">
        <f>IF(AND($D7&gt;0,BL$6&gt;=$D7,BL$6&lt;=$E7),1,IF(AND($F7&gt;0,BL$6=$F7),"◆",""))</f>
        <v/>
      </c>
      <c r="BM7" s="78" t="str">
        <f>IF(AND($D7&gt;0,BM$6&gt;=$D7,BM$6&lt;=$E7),1,IF(AND($F7&gt;0,BM$6=$F7),"◆",""))</f>
        <v/>
      </c>
      <c r="BN7" s="78" t="str">
        <f>IF(AND($D7&gt;0,BN$6&gt;=$D7,BN$6&lt;=$E7),1,IF(AND($F7&gt;0,BN$6=$F7),"◆",""))</f>
        <v/>
      </c>
      <c r="BO7" s="78" t="str">
        <f>IF(AND($D7&gt;0,BO$6&gt;=$D7,BO$6&lt;=$E7),1,IF(AND($F7&gt;0,BO$6=$F7),"◆",""))</f>
        <v/>
      </c>
      <c r="BP7" s="78" t="str">
        <f>IF(AND($D7&gt;0,BP$6&gt;=$D7,BP$6&lt;=$E7),1,IF(AND($F7&gt;0,BP$6=$F7),"◆",""))</f>
        <v/>
      </c>
    </row>
    <row r="8">
      <c r="A8" s="75" t="str">
        <f>IF(INDEX(of_ref,2)="","",INDEX(of_num,2)&amp;"")</f>
        <v>OF-2611-002</v>
      </c>
      <c r="B8" s="75" t="str">
        <f>IF(INDEX(of_ref,2)="","",INDEX(of_des,2)&amp;"")</f>
        <v>Flasque usinée 150</v>
      </c>
      <c r="C8" s="76" t="str">
        <f>IF(INDEX(of_ref,2)="","",INDEX(of_poste,2)&amp;"")</f>
        <v>FRAIS</v>
      </c>
      <c r="D8" s="77">
        <f>INDEX(of_start,2)</f>
        <v>46328.0</v>
      </c>
      <c r="E8" s="77">
        <f>INDEX(of_end,2)</f>
        <v>46329.0</v>
      </c>
      <c r="F8" s="77">
        <f>IF(N(INDEX(of_need,2))=0,0,INDEX(of_need,2))</f>
        <v>46335.0</v>
      </c>
      <c r="G8" s="76" t="str">
        <f>IF(INDEX(of_ref,2)="","",INDEX(of_etat,2)&amp;"")</f>
        <v>À l'heure</v>
      </c>
      <c r="I8" s="78">
        <f>IF(AND($D8&gt;0,I$6&gt;=$D8,I$6&lt;=$E8),1,IF(AND($F8&gt;0,I$6=$F8),"◆",""))</f>
        <v>1.0</v>
      </c>
      <c r="J8" s="78">
        <f>IF(AND($D8&gt;0,J$6&gt;=$D8,J$6&lt;=$E8),1,IF(AND($F8&gt;0,J$6=$F8),"◆",""))</f>
        <v>1.0</v>
      </c>
      <c r="K8" s="78" t="str">
        <f>IF(AND($D8&gt;0,K$6&gt;=$D8,K$6&lt;=$E8),1,IF(AND($F8&gt;0,K$6=$F8),"◆",""))</f>
        <v/>
      </c>
      <c r="L8" s="78" t="str">
        <f>IF(AND($D8&gt;0,L$6&gt;=$D8,L$6&lt;=$E8),1,IF(AND($F8&gt;0,L$6=$F8),"◆",""))</f>
        <v/>
      </c>
      <c r="M8" s="78" t="str">
        <f>IF(AND($D8&gt;0,M$6&gt;=$D8,M$6&lt;=$E8),1,IF(AND($F8&gt;0,M$6=$F8),"◆",""))</f>
        <v>◆</v>
      </c>
      <c r="N8" s="78" t="str">
        <f>IF(AND($D8&gt;0,N$6&gt;=$D8,N$6&lt;=$E8),1,IF(AND($F8&gt;0,N$6=$F8),"◆",""))</f>
        <v/>
      </c>
      <c r="O8" s="78" t="str">
        <f>IF(AND($D8&gt;0,O$6&gt;=$D8,O$6&lt;=$E8),1,IF(AND($F8&gt;0,O$6=$F8),"◆",""))</f>
        <v/>
      </c>
      <c r="P8" s="78" t="str">
        <f>IF(AND($D8&gt;0,P$6&gt;=$D8,P$6&lt;=$E8),1,IF(AND($F8&gt;0,P$6=$F8),"◆",""))</f>
        <v/>
      </c>
      <c r="Q8" s="78" t="str">
        <f>IF(AND($D8&gt;0,Q$6&gt;=$D8,Q$6&lt;=$E8),1,IF(AND($F8&gt;0,Q$6=$F8),"◆",""))</f>
        <v/>
      </c>
      <c r="R8" s="78" t="str">
        <f>IF(AND($D8&gt;0,R$6&gt;=$D8,R$6&lt;=$E8),1,IF(AND($F8&gt;0,R$6=$F8),"◆",""))</f>
        <v/>
      </c>
      <c r="S8" s="78" t="str">
        <f>IF(AND($D8&gt;0,S$6&gt;=$D8,S$6&lt;=$E8),1,IF(AND($F8&gt;0,S$6=$F8),"◆",""))</f>
        <v/>
      </c>
      <c r="T8" s="78" t="str">
        <f>IF(AND($D8&gt;0,T$6&gt;=$D8,T$6&lt;=$E8),1,IF(AND($F8&gt;0,T$6=$F8),"◆",""))</f>
        <v/>
      </c>
      <c r="U8" s="78" t="str">
        <f>IF(AND($D8&gt;0,U$6&gt;=$D8,U$6&lt;=$E8),1,IF(AND($F8&gt;0,U$6=$F8),"◆",""))</f>
        <v/>
      </c>
      <c r="V8" s="78" t="str">
        <f>IF(AND($D8&gt;0,V$6&gt;=$D8,V$6&lt;=$E8),1,IF(AND($F8&gt;0,V$6=$F8),"◆",""))</f>
        <v/>
      </c>
      <c r="W8" s="78" t="str">
        <f>IF(AND($D8&gt;0,W$6&gt;=$D8,W$6&lt;=$E8),1,IF(AND($F8&gt;0,W$6=$F8),"◆",""))</f>
        <v/>
      </c>
      <c r="X8" s="78" t="str">
        <f>IF(AND($D8&gt;0,X$6&gt;=$D8,X$6&lt;=$E8),1,IF(AND($F8&gt;0,X$6=$F8),"◆",""))</f>
        <v/>
      </c>
      <c r="Y8" s="78" t="str">
        <f>IF(AND($D8&gt;0,Y$6&gt;=$D8,Y$6&lt;=$E8),1,IF(AND($F8&gt;0,Y$6=$F8),"◆",""))</f>
        <v/>
      </c>
      <c r="Z8" s="78" t="str">
        <f>IF(AND($D8&gt;0,Z$6&gt;=$D8,Z$6&lt;=$E8),1,IF(AND($F8&gt;0,Z$6=$F8),"◆",""))</f>
        <v/>
      </c>
      <c r="AA8" s="78" t="str">
        <f>IF(AND($D8&gt;0,AA$6&gt;=$D8,AA$6&lt;=$E8),1,IF(AND($F8&gt;0,AA$6=$F8),"◆",""))</f>
        <v/>
      </c>
      <c r="AB8" s="78" t="str">
        <f>IF(AND($D8&gt;0,AB$6&gt;=$D8,AB$6&lt;=$E8),1,IF(AND($F8&gt;0,AB$6=$F8),"◆",""))</f>
        <v/>
      </c>
      <c r="AC8" s="78" t="str">
        <f>IF(AND($D8&gt;0,AC$6&gt;=$D8,AC$6&lt;=$E8),1,IF(AND($F8&gt;0,AC$6=$F8),"◆",""))</f>
        <v/>
      </c>
      <c r="AD8" s="78" t="str">
        <f>IF(AND($D8&gt;0,AD$6&gt;=$D8,AD$6&lt;=$E8),1,IF(AND($F8&gt;0,AD$6=$F8),"◆",""))</f>
        <v/>
      </c>
      <c r="AE8" s="78" t="str">
        <f>IF(AND($D8&gt;0,AE$6&gt;=$D8,AE$6&lt;=$E8),1,IF(AND($F8&gt;0,AE$6=$F8),"◆",""))</f>
        <v/>
      </c>
      <c r="AF8" s="78" t="str">
        <f>IF(AND($D8&gt;0,AF$6&gt;=$D8,AF$6&lt;=$E8),1,IF(AND($F8&gt;0,AF$6=$F8),"◆",""))</f>
        <v/>
      </c>
      <c r="AG8" s="78" t="str">
        <f>IF(AND($D8&gt;0,AG$6&gt;=$D8,AG$6&lt;=$E8),1,IF(AND($F8&gt;0,AG$6=$F8),"◆",""))</f>
        <v/>
      </c>
      <c r="AH8" s="78" t="str">
        <f>IF(AND($D8&gt;0,AH$6&gt;=$D8,AH$6&lt;=$E8),1,IF(AND($F8&gt;0,AH$6=$F8),"◆",""))</f>
        <v/>
      </c>
      <c r="AI8" s="78" t="str">
        <f>IF(AND($D8&gt;0,AI$6&gt;=$D8,AI$6&lt;=$E8),1,IF(AND($F8&gt;0,AI$6=$F8),"◆",""))</f>
        <v/>
      </c>
      <c r="AJ8" s="78" t="str">
        <f>IF(AND($D8&gt;0,AJ$6&gt;=$D8,AJ$6&lt;=$E8),1,IF(AND($F8&gt;0,AJ$6=$F8),"◆",""))</f>
        <v/>
      </c>
      <c r="AK8" s="78" t="str">
        <f>IF(AND($D8&gt;0,AK$6&gt;=$D8,AK$6&lt;=$E8),1,IF(AND($F8&gt;0,AK$6=$F8),"◆",""))</f>
        <v/>
      </c>
      <c r="AL8" s="78" t="str">
        <f>IF(AND($D8&gt;0,AL$6&gt;=$D8,AL$6&lt;=$E8),1,IF(AND($F8&gt;0,AL$6=$F8),"◆",""))</f>
        <v/>
      </c>
      <c r="AM8" s="78" t="str">
        <f>IF(AND($D8&gt;0,AM$6&gt;=$D8,AM$6&lt;=$E8),1,IF(AND($F8&gt;0,AM$6=$F8),"◆",""))</f>
        <v/>
      </c>
      <c r="AN8" s="78" t="str">
        <f>IF(AND($D8&gt;0,AN$6&gt;=$D8,AN$6&lt;=$E8),1,IF(AND($F8&gt;0,AN$6=$F8),"◆",""))</f>
        <v/>
      </c>
      <c r="AO8" s="78" t="str">
        <f>IF(AND($D8&gt;0,AO$6&gt;=$D8,AO$6&lt;=$E8),1,IF(AND($F8&gt;0,AO$6=$F8),"◆",""))</f>
        <v/>
      </c>
      <c r="AP8" s="78" t="str">
        <f>IF(AND($D8&gt;0,AP$6&gt;=$D8,AP$6&lt;=$E8),1,IF(AND($F8&gt;0,AP$6=$F8),"◆",""))</f>
        <v/>
      </c>
      <c r="AQ8" s="78" t="str">
        <f>IF(AND($D8&gt;0,AQ$6&gt;=$D8,AQ$6&lt;=$E8),1,IF(AND($F8&gt;0,AQ$6=$F8),"◆",""))</f>
        <v/>
      </c>
      <c r="AR8" s="78" t="str">
        <f>IF(AND($D8&gt;0,AR$6&gt;=$D8,AR$6&lt;=$E8),1,IF(AND($F8&gt;0,AR$6=$F8),"◆",""))</f>
        <v/>
      </c>
      <c r="AS8" s="78" t="str">
        <f>IF(AND($D8&gt;0,AS$6&gt;=$D8,AS$6&lt;=$E8),1,IF(AND($F8&gt;0,AS$6=$F8),"◆",""))</f>
        <v/>
      </c>
      <c r="AT8" s="78" t="str">
        <f>IF(AND($D8&gt;0,AT$6&gt;=$D8,AT$6&lt;=$E8),1,IF(AND($F8&gt;0,AT$6=$F8),"◆",""))</f>
        <v/>
      </c>
      <c r="AU8" s="78" t="str">
        <f>IF(AND($D8&gt;0,AU$6&gt;=$D8,AU$6&lt;=$E8),1,IF(AND($F8&gt;0,AU$6=$F8),"◆",""))</f>
        <v/>
      </c>
      <c r="AV8" s="78" t="str">
        <f>IF(AND($D8&gt;0,AV$6&gt;=$D8,AV$6&lt;=$E8),1,IF(AND($F8&gt;0,AV$6=$F8),"◆",""))</f>
        <v/>
      </c>
      <c r="AW8" s="78" t="str">
        <f>IF(AND($D8&gt;0,AW$6&gt;=$D8,AW$6&lt;=$E8),1,IF(AND($F8&gt;0,AW$6=$F8),"◆",""))</f>
        <v/>
      </c>
      <c r="AX8" s="78" t="str">
        <f>IF(AND($D8&gt;0,AX$6&gt;=$D8,AX$6&lt;=$E8),1,IF(AND($F8&gt;0,AX$6=$F8),"◆",""))</f>
        <v/>
      </c>
      <c r="AY8" s="78" t="str">
        <f>IF(AND($D8&gt;0,AY$6&gt;=$D8,AY$6&lt;=$E8),1,IF(AND($F8&gt;0,AY$6=$F8),"◆",""))</f>
        <v/>
      </c>
      <c r="AZ8" s="78" t="str">
        <f>IF(AND($D8&gt;0,AZ$6&gt;=$D8,AZ$6&lt;=$E8),1,IF(AND($F8&gt;0,AZ$6=$F8),"◆",""))</f>
        <v/>
      </c>
      <c r="BA8" s="78" t="str">
        <f>IF(AND($D8&gt;0,BA$6&gt;=$D8,BA$6&lt;=$E8),1,IF(AND($F8&gt;0,BA$6=$F8),"◆",""))</f>
        <v/>
      </c>
      <c r="BB8" s="78" t="str">
        <f>IF(AND($D8&gt;0,BB$6&gt;=$D8,BB$6&lt;=$E8),1,IF(AND($F8&gt;0,BB$6=$F8),"◆",""))</f>
        <v/>
      </c>
      <c r="BC8" s="78" t="str">
        <f>IF(AND($D8&gt;0,BC$6&gt;=$D8,BC$6&lt;=$E8),1,IF(AND($F8&gt;0,BC$6=$F8),"◆",""))</f>
        <v/>
      </c>
      <c r="BD8" s="78" t="str">
        <f>IF(AND($D8&gt;0,BD$6&gt;=$D8,BD$6&lt;=$E8),1,IF(AND($F8&gt;0,BD$6=$F8),"◆",""))</f>
        <v/>
      </c>
      <c r="BE8" s="78" t="str">
        <f>IF(AND($D8&gt;0,BE$6&gt;=$D8,BE$6&lt;=$E8),1,IF(AND($F8&gt;0,BE$6=$F8),"◆",""))</f>
        <v/>
      </c>
      <c r="BF8" s="78" t="str">
        <f>IF(AND($D8&gt;0,BF$6&gt;=$D8,BF$6&lt;=$E8),1,IF(AND($F8&gt;0,BF$6=$F8),"◆",""))</f>
        <v/>
      </c>
      <c r="BG8" s="78" t="str">
        <f>IF(AND($D8&gt;0,BG$6&gt;=$D8,BG$6&lt;=$E8),1,IF(AND($F8&gt;0,BG$6=$F8),"◆",""))</f>
        <v/>
      </c>
      <c r="BH8" s="78" t="str">
        <f>IF(AND($D8&gt;0,BH$6&gt;=$D8,BH$6&lt;=$E8),1,IF(AND($F8&gt;0,BH$6=$F8),"◆",""))</f>
        <v/>
      </c>
      <c r="BI8" s="78" t="str">
        <f>IF(AND($D8&gt;0,BI$6&gt;=$D8,BI$6&lt;=$E8),1,IF(AND($F8&gt;0,BI$6=$F8),"◆",""))</f>
        <v/>
      </c>
      <c r="BJ8" s="78" t="str">
        <f>IF(AND($D8&gt;0,BJ$6&gt;=$D8,BJ$6&lt;=$E8),1,IF(AND($F8&gt;0,BJ$6=$F8),"◆",""))</f>
        <v/>
      </c>
      <c r="BK8" s="78" t="str">
        <f>IF(AND($D8&gt;0,BK$6&gt;=$D8,BK$6&lt;=$E8),1,IF(AND($F8&gt;0,BK$6=$F8),"◆",""))</f>
        <v/>
      </c>
      <c r="BL8" s="78" t="str">
        <f>IF(AND($D8&gt;0,BL$6&gt;=$D8,BL$6&lt;=$E8),1,IF(AND($F8&gt;0,BL$6=$F8),"◆",""))</f>
        <v/>
      </c>
      <c r="BM8" s="78" t="str">
        <f>IF(AND($D8&gt;0,BM$6&gt;=$D8,BM$6&lt;=$E8),1,IF(AND($F8&gt;0,BM$6=$F8),"◆",""))</f>
        <v/>
      </c>
      <c r="BN8" s="78" t="str">
        <f>IF(AND($D8&gt;0,BN$6&gt;=$D8,BN$6&lt;=$E8),1,IF(AND($F8&gt;0,BN$6=$F8),"◆",""))</f>
        <v/>
      </c>
      <c r="BO8" s="78" t="str">
        <f>IF(AND($D8&gt;0,BO$6&gt;=$D8,BO$6&lt;=$E8),1,IF(AND($F8&gt;0,BO$6=$F8),"◆",""))</f>
        <v/>
      </c>
      <c r="BP8" s="78" t="str">
        <f>IF(AND($D8&gt;0,BP$6&gt;=$D8,BP$6&lt;=$E8),1,IF(AND($F8&gt;0,BP$6=$F8),"◆",""))</f>
        <v/>
      </c>
    </row>
    <row r="9">
      <c r="A9" s="75" t="str">
        <f>IF(INDEX(of_ref,3)="","",INDEX(of_num,3)&amp;"")</f>
        <v>OF-2611-003</v>
      </c>
      <c r="B9" s="75" t="str">
        <f>IF(INDEX(of_ref,3)="","",INDEX(of_des,3)&amp;"")</f>
        <v>Tube cadre 40x40 coupé</v>
      </c>
      <c r="C9" s="76" t="str">
        <f>IF(INDEX(of_ref,3)="","",INDEX(of_poste,3)&amp;"")</f>
        <v>SCIE</v>
      </c>
      <c r="D9" s="77">
        <f>INDEX(of_start,3)</f>
        <v>46328.0</v>
      </c>
      <c r="E9" s="77">
        <f>INDEX(of_end,3)</f>
        <v>46329.0</v>
      </c>
      <c r="F9" s="77">
        <f>IF(N(INDEX(of_need,3))=0,0,INDEX(of_need,3))</f>
        <v>46331.0</v>
      </c>
      <c r="G9" s="76" t="str">
        <f>IF(INDEX(of_ref,3)="","",INDEX(of_etat,3)&amp;"")</f>
        <v>Juste</v>
      </c>
      <c r="I9" s="78">
        <f>IF(AND($D9&gt;0,I$6&gt;=$D9,I$6&lt;=$E9),1,IF(AND($F9&gt;0,I$6=$F9),"◆",""))</f>
        <v>1.0</v>
      </c>
      <c r="J9" s="78">
        <f>IF(AND($D9&gt;0,J$6&gt;=$D9,J$6&lt;=$E9),1,IF(AND($F9&gt;0,J$6=$F9),"◆",""))</f>
        <v>1.0</v>
      </c>
      <c r="K9" s="78" t="str">
        <f>IF(AND($D9&gt;0,K$6&gt;=$D9,K$6&lt;=$E9),1,IF(AND($F9&gt;0,K$6=$F9),"◆",""))</f>
        <v/>
      </c>
      <c r="L9" s="78" t="str">
        <f>IF(AND($D9&gt;0,L$6&gt;=$D9,L$6&lt;=$E9),1,IF(AND($F9&gt;0,L$6=$F9),"◆",""))</f>
        <v>◆</v>
      </c>
      <c r="M9" s="78" t="str">
        <f>IF(AND($D9&gt;0,M$6&gt;=$D9,M$6&lt;=$E9),1,IF(AND($F9&gt;0,M$6=$F9),"◆",""))</f>
        <v/>
      </c>
      <c r="N9" s="78" t="str">
        <f>IF(AND($D9&gt;0,N$6&gt;=$D9,N$6&lt;=$E9),1,IF(AND($F9&gt;0,N$6=$F9),"◆",""))</f>
        <v/>
      </c>
      <c r="O9" s="78" t="str">
        <f>IF(AND($D9&gt;0,O$6&gt;=$D9,O$6&lt;=$E9),1,IF(AND($F9&gt;0,O$6=$F9),"◆",""))</f>
        <v/>
      </c>
      <c r="P9" s="78" t="str">
        <f>IF(AND($D9&gt;0,P$6&gt;=$D9,P$6&lt;=$E9),1,IF(AND($F9&gt;0,P$6=$F9),"◆",""))</f>
        <v/>
      </c>
      <c r="Q9" s="78" t="str">
        <f>IF(AND($D9&gt;0,Q$6&gt;=$D9,Q$6&lt;=$E9),1,IF(AND($F9&gt;0,Q$6=$F9),"◆",""))</f>
        <v/>
      </c>
      <c r="R9" s="78" t="str">
        <f>IF(AND($D9&gt;0,R$6&gt;=$D9,R$6&lt;=$E9),1,IF(AND($F9&gt;0,R$6=$F9),"◆",""))</f>
        <v/>
      </c>
      <c r="S9" s="78" t="str">
        <f>IF(AND($D9&gt;0,S$6&gt;=$D9,S$6&lt;=$E9),1,IF(AND($F9&gt;0,S$6=$F9),"◆",""))</f>
        <v/>
      </c>
      <c r="T9" s="78" t="str">
        <f>IF(AND($D9&gt;0,T$6&gt;=$D9,T$6&lt;=$E9),1,IF(AND($F9&gt;0,T$6=$F9),"◆",""))</f>
        <v/>
      </c>
      <c r="U9" s="78" t="str">
        <f>IF(AND($D9&gt;0,U$6&gt;=$D9,U$6&lt;=$E9),1,IF(AND($F9&gt;0,U$6=$F9),"◆",""))</f>
        <v/>
      </c>
      <c r="V9" s="78" t="str">
        <f>IF(AND($D9&gt;0,V$6&gt;=$D9,V$6&lt;=$E9),1,IF(AND($F9&gt;0,V$6=$F9),"◆",""))</f>
        <v/>
      </c>
      <c r="W9" s="78" t="str">
        <f>IF(AND($D9&gt;0,W$6&gt;=$D9,W$6&lt;=$E9),1,IF(AND($F9&gt;0,W$6=$F9),"◆",""))</f>
        <v/>
      </c>
      <c r="X9" s="78" t="str">
        <f>IF(AND($D9&gt;0,X$6&gt;=$D9,X$6&lt;=$E9),1,IF(AND($F9&gt;0,X$6=$F9),"◆",""))</f>
        <v/>
      </c>
      <c r="Y9" s="78" t="str">
        <f>IF(AND($D9&gt;0,Y$6&gt;=$D9,Y$6&lt;=$E9),1,IF(AND($F9&gt;0,Y$6=$F9),"◆",""))</f>
        <v/>
      </c>
      <c r="Z9" s="78" t="str">
        <f>IF(AND($D9&gt;0,Z$6&gt;=$D9,Z$6&lt;=$E9),1,IF(AND($F9&gt;0,Z$6=$F9),"◆",""))</f>
        <v/>
      </c>
      <c r="AA9" s="78" t="str">
        <f>IF(AND($D9&gt;0,AA$6&gt;=$D9,AA$6&lt;=$E9),1,IF(AND($F9&gt;0,AA$6=$F9),"◆",""))</f>
        <v/>
      </c>
      <c r="AB9" s="78" t="str">
        <f>IF(AND($D9&gt;0,AB$6&gt;=$D9,AB$6&lt;=$E9),1,IF(AND($F9&gt;0,AB$6=$F9),"◆",""))</f>
        <v/>
      </c>
      <c r="AC9" s="78" t="str">
        <f>IF(AND($D9&gt;0,AC$6&gt;=$D9,AC$6&lt;=$E9),1,IF(AND($F9&gt;0,AC$6=$F9),"◆",""))</f>
        <v/>
      </c>
      <c r="AD9" s="78" t="str">
        <f>IF(AND($D9&gt;0,AD$6&gt;=$D9,AD$6&lt;=$E9),1,IF(AND($F9&gt;0,AD$6=$F9),"◆",""))</f>
        <v/>
      </c>
      <c r="AE9" s="78" t="str">
        <f>IF(AND($D9&gt;0,AE$6&gt;=$D9,AE$6&lt;=$E9),1,IF(AND($F9&gt;0,AE$6=$F9),"◆",""))</f>
        <v/>
      </c>
      <c r="AF9" s="78" t="str">
        <f>IF(AND($D9&gt;0,AF$6&gt;=$D9,AF$6&lt;=$E9),1,IF(AND($F9&gt;0,AF$6=$F9),"◆",""))</f>
        <v/>
      </c>
      <c r="AG9" s="78" t="str">
        <f>IF(AND($D9&gt;0,AG$6&gt;=$D9,AG$6&lt;=$E9),1,IF(AND($F9&gt;0,AG$6=$F9),"◆",""))</f>
        <v/>
      </c>
      <c r="AH9" s="78" t="str">
        <f>IF(AND($D9&gt;0,AH$6&gt;=$D9,AH$6&lt;=$E9),1,IF(AND($F9&gt;0,AH$6=$F9),"◆",""))</f>
        <v/>
      </c>
      <c r="AI9" s="78" t="str">
        <f>IF(AND($D9&gt;0,AI$6&gt;=$D9,AI$6&lt;=$E9),1,IF(AND($F9&gt;0,AI$6=$F9),"◆",""))</f>
        <v/>
      </c>
      <c r="AJ9" s="78" t="str">
        <f>IF(AND($D9&gt;0,AJ$6&gt;=$D9,AJ$6&lt;=$E9),1,IF(AND($F9&gt;0,AJ$6=$F9),"◆",""))</f>
        <v/>
      </c>
      <c r="AK9" s="78" t="str">
        <f>IF(AND($D9&gt;0,AK$6&gt;=$D9,AK$6&lt;=$E9),1,IF(AND($F9&gt;0,AK$6=$F9),"◆",""))</f>
        <v/>
      </c>
      <c r="AL9" s="78" t="str">
        <f>IF(AND($D9&gt;0,AL$6&gt;=$D9,AL$6&lt;=$E9),1,IF(AND($F9&gt;0,AL$6=$F9),"◆",""))</f>
        <v/>
      </c>
      <c r="AM9" s="78" t="str">
        <f>IF(AND($D9&gt;0,AM$6&gt;=$D9,AM$6&lt;=$E9),1,IF(AND($F9&gt;0,AM$6=$F9),"◆",""))</f>
        <v/>
      </c>
      <c r="AN9" s="78" t="str">
        <f>IF(AND($D9&gt;0,AN$6&gt;=$D9,AN$6&lt;=$E9),1,IF(AND($F9&gt;0,AN$6=$F9),"◆",""))</f>
        <v/>
      </c>
      <c r="AO9" s="78" t="str">
        <f>IF(AND($D9&gt;0,AO$6&gt;=$D9,AO$6&lt;=$E9),1,IF(AND($F9&gt;0,AO$6=$F9),"◆",""))</f>
        <v/>
      </c>
      <c r="AP9" s="78" t="str">
        <f>IF(AND($D9&gt;0,AP$6&gt;=$D9,AP$6&lt;=$E9),1,IF(AND($F9&gt;0,AP$6=$F9),"◆",""))</f>
        <v/>
      </c>
      <c r="AQ9" s="78" t="str">
        <f>IF(AND($D9&gt;0,AQ$6&gt;=$D9,AQ$6&lt;=$E9),1,IF(AND($F9&gt;0,AQ$6=$F9),"◆",""))</f>
        <v/>
      </c>
      <c r="AR9" s="78" t="str">
        <f>IF(AND($D9&gt;0,AR$6&gt;=$D9,AR$6&lt;=$E9),1,IF(AND($F9&gt;0,AR$6=$F9),"◆",""))</f>
        <v/>
      </c>
      <c r="AS9" s="78" t="str">
        <f>IF(AND($D9&gt;0,AS$6&gt;=$D9,AS$6&lt;=$E9),1,IF(AND($F9&gt;0,AS$6=$F9),"◆",""))</f>
        <v/>
      </c>
      <c r="AT9" s="78" t="str">
        <f>IF(AND($D9&gt;0,AT$6&gt;=$D9,AT$6&lt;=$E9),1,IF(AND($F9&gt;0,AT$6=$F9),"◆",""))</f>
        <v/>
      </c>
      <c r="AU9" s="78" t="str">
        <f>IF(AND($D9&gt;0,AU$6&gt;=$D9,AU$6&lt;=$E9),1,IF(AND($F9&gt;0,AU$6=$F9),"◆",""))</f>
        <v/>
      </c>
      <c r="AV9" s="78" t="str">
        <f>IF(AND($D9&gt;0,AV$6&gt;=$D9,AV$6&lt;=$E9),1,IF(AND($F9&gt;0,AV$6=$F9),"◆",""))</f>
        <v/>
      </c>
      <c r="AW9" s="78" t="str">
        <f>IF(AND($D9&gt;0,AW$6&gt;=$D9,AW$6&lt;=$E9),1,IF(AND($F9&gt;0,AW$6=$F9),"◆",""))</f>
        <v/>
      </c>
      <c r="AX9" s="78" t="str">
        <f>IF(AND($D9&gt;0,AX$6&gt;=$D9,AX$6&lt;=$E9),1,IF(AND($F9&gt;0,AX$6=$F9),"◆",""))</f>
        <v/>
      </c>
      <c r="AY9" s="78" t="str">
        <f>IF(AND($D9&gt;0,AY$6&gt;=$D9,AY$6&lt;=$E9),1,IF(AND($F9&gt;0,AY$6=$F9),"◆",""))</f>
        <v/>
      </c>
      <c r="AZ9" s="78" t="str">
        <f>IF(AND($D9&gt;0,AZ$6&gt;=$D9,AZ$6&lt;=$E9),1,IF(AND($F9&gt;0,AZ$6=$F9),"◆",""))</f>
        <v/>
      </c>
      <c r="BA9" s="78" t="str">
        <f>IF(AND($D9&gt;0,BA$6&gt;=$D9,BA$6&lt;=$E9),1,IF(AND($F9&gt;0,BA$6=$F9),"◆",""))</f>
        <v/>
      </c>
      <c r="BB9" s="78" t="str">
        <f>IF(AND($D9&gt;0,BB$6&gt;=$D9,BB$6&lt;=$E9),1,IF(AND($F9&gt;0,BB$6=$F9),"◆",""))</f>
        <v/>
      </c>
      <c r="BC9" s="78" t="str">
        <f>IF(AND($D9&gt;0,BC$6&gt;=$D9,BC$6&lt;=$E9),1,IF(AND($F9&gt;0,BC$6=$F9),"◆",""))</f>
        <v/>
      </c>
      <c r="BD9" s="78" t="str">
        <f>IF(AND($D9&gt;0,BD$6&gt;=$D9,BD$6&lt;=$E9),1,IF(AND($F9&gt;0,BD$6=$F9),"◆",""))</f>
        <v/>
      </c>
      <c r="BE9" s="78" t="str">
        <f>IF(AND($D9&gt;0,BE$6&gt;=$D9,BE$6&lt;=$E9),1,IF(AND($F9&gt;0,BE$6=$F9),"◆",""))</f>
        <v/>
      </c>
      <c r="BF9" s="78" t="str">
        <f>IF(AND($D9&gt;0,BF$6&gt;=$D9,BF$6&lt;=$E9),1,IF(AND($F9&gt;0,BF$6=$F9),"◆",""))</f>
        <v/>
      </c>
      <c r="BG9" s="78" t="str">
        <f>IF(AND($D9&gt;0,BG$6&gt;=$D9,BG$6&lt;=$E9),1,IF(AND($F9&gt;0,BG$6=$F9),"◆",""))</f>
        <v/>
      </c>
      <c r="BH9" s="78" t="str">
        <f>IF(AND($D9&gt;0,BH$6&gt;=$D9,BH$6&lt;=$E9),1,IF(AND($F9&gt;0,BH$6=$F9),"◆",""))</f>
        <v/>
      </c>
      <c r="BI9" s="78" t="str">
        <f>IF(AND($D9&gt;0,BI$6&gt;=$D9,BI$6&lt;=$E9),1,IF(AND($F9&gt;0,BI$6=$F9),"◆",""))</f>
        <v/>
      </c>
      <c r="BJ9" s="78" t="str">
        <f>IF(AND($D9&gt;0,BJ$6&gt;=$D9,BJ$6&lt;=$E9),1,IF(AND($F9&gt;0,BJ$6=$F9),"◆",""))</f>
        <v/>
      </c>
      <c r="BK9" s="78" t="str">
        <f>IF(AND($D9&gt;0,BK$6&gt;=$D9,BK$6&lt;=$E9),1,IF(AND($F9&gt;0,BK$6=$F9),"◆",""))</f>
        <v/>
      </c>
      <c r="BL9" s="78" t="str">
        <f>IF(AND($D9&gt;0,BL$6&gt;=$D9,BL$6&lt;=$E9),1,IF(AND($F9&gt;0,BL$6=$F9),"◆",""))</f>
        <v/>
      </c>
      <c r="BM9" s="78" t="str">
        <f>IF(AND($D9&gt;0,BM$6&gt;=$D9,BM$6&lt;=$E9),1,IF(AND($F9&gt;0,BM$6=$F9),"◆",""))</f>
        <v/>
      </c>
      <c r="BN9" s="78" t="str">
        <f>IF(AND($D9&gt;0,BN$6&gt;=$D9,BN$6&lt;=$E9),1,IF(AND($F9&gt;0,BN$6=$F9),"◆",""))</f>
        <v/>
      </c>
      <c r="BO9" s="78" t="str">
        <f>IF(AND($D9&gt;0,BO$6&gt;=$D9,BO$6&lt;=$E9),1,IF(AND($F9&gt;0,BO$6=$F9),"◆",""))</f>
        <v/>
      </c>
      <c r="BP9" s="78" t="str">
        <f>IF(AND($D9&gt;0,BP$6&gt;=$D9,BP$6&lt;=$E9),1,IF(AND($F9&gt;0,BP$6=$F9),"◆",""))</f>
        <v/>
      </c>
    </row>
    <row r="10">
      <c r="A10" s="75" t="str">
        <f>IF(INDEX(of_ref,4)="","",INDEX(of_num,4)&amp;"")</f>
        <v>OF-2611-004</v>
      </c>
      <c r="B10" s="75" t="str">
        <f>IF(INDEX(of_ref,4)="","",INDEX(of_des,4)&amp;"")</f>
        <v>Support moteur acier</v>
      </c>
      <c r="C10" s="76" t="str">
        <f>IF(INDEX(of_ref,4)="","",INDEX(of_poste,4)&amp;"")</f>
        <v>PLIE</v>
      </c>
      <c r="D10" s="77">
        <f>INDEX(of_start,4)</f>
        <v>46328.0</v>
      </c>
      <c r="E10" s="77">
        <f>INDEX(of_end,4)</f>
        <v>46329.0</v>
      </c>
      <c r="F10" s="77">
        <f>IF(N(INDEX(of_need,4))=0,0,INDEX(of_need,4))</f>
        <v>46336.0</v>
      </c>
      <c r="G10" s="76" t="str">
        <f>IF(INDEX(of_ref,4)="","",INDEX(of_etat,4)&amp;"")</f>
        <v>À l'heure</v>
      </c>
      <c r="I10" s="78">
        <f>IF(AND($D10&gt;0,I$6&gt;=$D10,I$6&lt;=$E10),1,IF(AND($F10&gt;0,I$6=$F10),"◆",""))</f>
        <v>1.0</v>
      </c>
      <c r="J10" s="78">
        <f>IF(AND($D10&gt;0,J$6&gt;=$D10,J$6&lt;=$E10),1,IF(AND($F10&gt;0,J$6=$F10),"◆",""))</f>
        <v>1.0</v>
      </c>
      <c r="K10" s="78" t="str">
        <f>IF(AND($D10&gt;0,K$6&gt;=$D10,K$6&lt;=$E10),1,IF(AND($F10&gt;0,K$6=$F10),"◆",""))</f>
        <v/>
      </c>
      <c r="L10" s="78" t="str">
        <f>IF(AND($D10&gt;0,L$6&gt;=$D10,L$6&lt;=$E10),1,IF(AND($F10&gt;0,L$6=$F10),"◆",""))</f>
        <v/>
      </c>
      <c r="M10" s="78" t="str">
        <f>IF(AND($D10&gt;0,M$6&gt;=$D10,M$6&lt;=$E10),1,IF(AND($F10&gt;0,M$6=$F10),"◆",""))</f>
        <v/>
      </c>
      <c r="N10" s="78" t="str">
        <f>IF(AND($D10&gt;0,N$6&gt;=$D10,N$6&lt;=$E10),1,IF(AND($F10&gt;0,N$6=$F10),"◆",""))</f>
        <v>◆</v>
      </c>
      <c r="O10" s="78" t="str">
        <f>IF(AND($D10&gt;0,O$6&gt;=$D10,O$6&lt;=$E10),1,IF(AND($F10&gt;0,O$6=$F10),"◆",""))</f>
        <v/>
      </c>
      <c r="P10" s="78" t="str">
        <f>IF(AND($D10&gt;0,P$6&gt;=$D10,P$6&lt;=$E10),1,IF(AND($F10&gt;0,P$6=$F10),"◆",""))</f>
        <v/>
      </c>
      <c r="Q10" s="78" t="str">
        <f>IF(AND($D10&gt;0,Q$6&gt;=$D10,Q$6&lt;=$E10),1,IF(AND($F10&gt;0,Q$6=$F10),"◆",""))</f>
        <v/>
      </c>
      <c r="R10" s="78" t="str">
        <f>IF(AND($D10&gt;0,R$6&gt;=$D10,R$6&lt;=$E10),1,IF(AND($F10&gt;0,R$6=$F10),"◆",""))</f>
        <v/>
      </c>
      <c r="S10" s="78" t="str">
        <f>IF(AND($D10&gt;0,S$6&gt;=$D10,S$6&lt;=$E10),1,IF(AND($F10&gt;0,S$6=$F10),"◆",""))</f>
        <v/>
      </c>
      <c r="T10" s="78" t="str">
        <f>IF(AND($D10&gt;0,T$6&gt;=$D10,T$6&lt;=$E10),1,IF(AND($F10&gt;0,T$6=$F10),"◆",""))</f>
        <v/>
      </c>
      <c r="U10" s="78" t="str">
        <f>IF(AND($D10&gt;0,U$6&gt;=$D10,U$6&lt;=$E10),1,IF(AND($F10&gt;0,U$6=$F10),"◆",""))</f>
        <v/>
      </c>
      <c r="V10" s="78" t="str">
        <f>IF(AND($D10&gt;0,V$6&gt;=$D10,V$6&lt;=$E10),1,IF(AND($F10&gt;0,V$6=$F10),"◆",""))</f>
        <v/>
      </c>
      <c r="W10" s="78" t="str">
        <f>IF(AND($D10&gt;0,W$6&gt;=$D10,W$6&lt;=$E10),1,IF(AND($F10&gt;0,W$6=$F10),"◆",""))</f>
        <v/>
      </c>
      <c r="X10" s="78" t="str">
        <f>IF(AND($D10&gt;0,X$6&gt;=$D10,X$6&lt;=$E10),1,IF(AND($F10&gt;0,X$6=$F10),"◆",""))</f>
        <v/>
      </c>
      <c r="Y10" s="78" t="str">
        <f>IF(AND($D10&gt;0,Y$6&gt;=$D10,Y$6&lt;=$E10),1,IF(AND($F10&gt;0,Y$6=$F10),"◆",""))</f>
        <v/>
      </c>
      <c r="Z10" s="78" t="str">
        <f>IF(AND($D10&gt;0,Z$6&gt;=$D10,Z$6&lt;=$E10),1,IF(AND($F10&gt;0,Z$6=$F10),"◆",""))</f>
        <v/>
      </c>
      <c r="AA10" s="78" t="str">
        <f>IF(AND($D10&gt;0,AA$6&gt;=$D10,AA$6&lt;=$E10),1,IF(AND($F10&gt;0,AA$6=$F10),"◆",""))</f>
        <v/>
      </c>
      <c r="AB10" s="78" t="str">
        <f>IF(AND($D10&gt;0,AB$6&gt;=$D10,AB$6&lt;=$E10),1,IF(AND($F10&gt;0,AB$6=$F10),"◆",""))</f>
        <v/>
      </c>
      <c r="AC10" s="78" t="str">
        <f>IF(AND($D10&gt;0,AC$6&gt;=$D10,AC$6&lt;=$E10),1,IF(AND($F10&gt;0,AC$6=$F10),"◆",""))</f>
        <v/>
      </c>
      <c r="AD10" s="78" t="str">
        <f>IF(AND($D10&gt;0,AD$6&gt;=$D10,AD$6&lt;=$E10),1,IF(AND($F10&gt;0,AD$6=$F10),"◆",""))</f>
        <v/>
      </c>
      <c r="AE10" s="78" t="str">
        <f>IF(AND($D10&gt;0,AE$6&gt;=$D10,AE$6&lt;=$E10),1,IF(AND($F10&gt;0,AE$6=$F10),"◆",""))</f>
        <v/>
      </c>
      <c r="AF10" s="78" t="str">
        <f>IF(AND($D10&gt;0,AF$6&gt;=$D10,AF$6&lt;=$E10),1,IF(AND($F10&gt;0,AF$6=$F10),"◆",""))</f>
        <v/>
      </c>
      <c r="AG10" s="78" t="str">
        <f>IF(AND($D10&gt;0,AG$6&gt;=$D10,AG$6&lt;=$E10),1,IF(AND($F10&gt;0,AG$6=$F10),"◆",""))</f>
        <v/>
      </c>
      <c r="AH10" s="78" t="str">
        <f>IF(AND($D10&gt;0,AH$6&gt;=$D10,AH$6&lt;=$E10),1,IF(AND($F10&gt;0,AH$6=$F10),"◆",""))</f>
        <v/>
      </c>
      <c r="AI10" s="78" t="str">
        <f>IF(AND($D10&gt;0,AI$6&gt;=$D10,AI$6&lt;=$E10),1,IF(AND($F10&gt;0,AI$6=$F10),"◆",""))</f>
        <v/>
      </c>
      <c r="AJ10" s="78" t="str">
        <f>IF(AND($D10&gt;0,AJ$6&gt;=$D10,AJ$6&lt;=$E10),1,IF(AND($F10&gt;0,AJ$6=$F10),"◆",""))</f>
        <v/>
      </c>
      <c r="AK10" s="78" t="str">
        <f>IF(AND($D10&gt;0,AK$6&gt;=$D10,AK$6&lt;=$E10),1,IF(AND($F10&gt;0,AK$6=$F10),"◆",""))</f>
        <v/>
      </c>
      <c r="AL10" s="78" t="str">
        <f>IF(AND($D10&gt;0,AL$6&gt;=$D10,AL$6&lt;=$E10),1,IF(AND($F10&gt;0,AL$6=$F10),"◆",""))</f>
        <v/>
      </c>
      <c r="AM10" s="78" t="str">
        <f>IF(AND($D10&gt;0,AM$6&gt;=$D10,AM$6&lt;=$E10),1,IF(AND($F10&gt;0,AM$6=$F10),"◆",""))</f>
        <v/>
      </c>
      <c r="AN10" s="78" t="str">
        <f>IF(AND($D10&gt;0,AN$6&gt;=$D10,AN$6&lt;=$E10),1,IF(AND($F10&gt;0,AN$6=$F10),"◆",""))</f>
        <v/>
      </c>
      <c r="AO10" s="78" t="str">
        <f>IF(AND($D10&gt;0,AO$6&gt;=$D10,AO$6&lt;=$E10),1,IF(AND($F10&gt;0,AO$6=$F10),"◆",""))</f>
        <v/>
      </c>
      <c r="AP10" s="78" t="str">
        <f>IF(AND($D10&gt;0,AP$6&gt;=$D10,AP$6&lt;=$E10),1,IF(AND($F10&gt;0,AP$6=$F10),"◆",""))</f>
        <v/>
      </c>
      <c r="AQ10" s="78" t="str">
        <f>IF(AND($D10&gt;0,AQ$6&gt;=$D10,AQ$6&lt;=$E10),1,IF(AND($F10&gt;0,AQ$6=$F10),"◆",""))</f>
        <v/>
      </c>
      <c r="AR10" s="78" t="str">
        <f>IF(AND($D10&gt;0,AR$6&gt;=$D10,AR$6&lt;=$E10),1,IF(AND($F10&gt;0,AR$6=$F10),"◆",""))</f>
        <v/>
      </c>
      <c r="AS10" s="78" t="str">
        <f>IF(AND($D10&gt;0,AS$6&gt;=$D10,AS$6&lt;=$E10),1,IF(AND($F10&gt;0,AS$6=$F10),"◆",""))</f>
        <v/>
      </c>
      <c r="AT10" s="78" t="str">
        <f>IF(AND($D10&gt;0,AT$6&gt;=$D10,AT$6&lt;=$E10),1,IF(AND($F10&gt;0,AT$6=$F10),"◆",""))</f>
        <v/>
      </c>
      <c r="AU10" s="78" t="str">
        <f>IF(AND($D10&gt;0,AU$6&gt;=$D10,AU$6&lt;=$E10),1,IF(AND($F10&gt;0,AU$6=$F10),"◆",""))</f>
        <v/>
      </c>
      <c r="AV10" s="78" t="str">
        <f>IF(AND($D10&gt;0,AV$6&gt;=$D10,AV$6&lt;=$E10),1,IF(AND($F10&gt;0,AV$6=$F10),"◆",""))</f>
        <v/>
      </c>
      <c r="AW10" s="78" t="str">
        <f>IF(AND($D10&gt;0,AW$6&gt;=$D10,AW$6&lt;=$E10),1,IF(AND($F10&gt;0,AW$6=$F10),"◆",""))</f>
        <v/>
      </c>
      <c r="AX10" s="78" t="str">
        <f>IF(AND($D10&gt;0,AX$6&gt;=$D10,AX$6&lt;=$E10),1,IF(AND($F10&gt;0,AX$6=$F10),"◆",""))</f>
        <v/>
      </c>
      <c r="AY10" s="78" t="str">
        <f>IF(AND($D10&gt;0,AY$6&gt;=$D10,AY$6&lt;=$E10),1,IF(AND($F10&gt;0,AY$6=$F10),"◆",""))</f>
        <v/>
      </c>
      <c r="AZ10" s="78" t="str">
        <f>IF(AND($D10&gt;0,AZ$6&gt;=$D10,AZ$6&lt;=$E10),1,IF(AND($F10&gt;0,AZ$6=$F10),"◆",""))</f>
        <v/>
      </c>
      <c r="BA10" s="78" t="str">
        <f>IF(AND($D10&gt;0,BA$6&gt;=$D10,BA$6&lt;=$E10),1,IF(AND($F10&gt;0,BA$6=$F10),"◆",""))</f>
        <v/>
      </c>
      <c r="BB10" s="78" t="str">
        <f>IF(AND($D10&gt;0,BB$6&gt;=$D10,BB$6&lt;=$E10),1,IF(AND($F10&gt;0,BB$6=$F10),"◆",""))</f>
        <v/>
      </c>
      <c r="BC10" s="78" t="str">
        <f>IF(AND($D10&gt;0,BC$6&gt;=$D10,BC$6&lt;=$E10),1,IF(AND($F10&gt;0,BC$6=$F10),"◆",""))</f>
        <v/>
      </c>
      <c r="BD10" s="78" t="str">
        <f>IF(AND($D10&gt;0,BD$6&gt;=$D10,BD$6&lt;=$E10),1,IF(AND($F10&gt;0,BD$6=$F10),"◆",""))</f>
        <v/>
      </c>
      <c r="BE10" s="78" t="str">
        <f>IF(AND($D10&gt;0,BE$6&gt;=$D10,BE$6&lt;=$E10),1,IF(AND($F10&gt;0,BE$6=$F10),"◆",""))</f>
        <v/>
      </c>
      <c r="BF10" s="78" t="str">
        <f>IF(AND($D10&gt;0,BF$6&gt;=$D10,BF$6&lt;=$E10),1,IF(AND($F10&gt;0,BF$6=$F10),"◆",""))</f>
        <v/>
      </c>
      <c r="BG10" s="78" t="str">
        <f>IF(AND($D10&gt;0,BG$6&gt;=$D10,BG$6&lt;=$E10),1,IF(AND($F10&gt;0,BG$6=$F10),"◆",""))</f>
        <v/>
      </c>
      <c r="BH10" s="78" t="str">
        <f>IF(AND($D10&gt;0,BH$6&gt;=$D10,BH$6&lt;=$E10),1,IF(AND($F10&gt;0,BH$6=$F10),"◆",""))</f>
        <v/>
      </c>
      <c r="BI10" s="78" t="str">
        <f>IF(AND($D10&gt;0,BI$6&gt;=$D10,BI$6&lt;=$E10),1,IF(AND($F10&gt;0,BI$6=$F10),"◆",""))</f>
        <v/>
      </c>
      <c r="BJ10" s="78" t="str">
        <f>IF(AND($D10&gt;0,BJ$6&gt;=$D10,BJ$6&lt;=$E10),1,IF(AND($F10&gt;0,BJ$6=$F10),"◆",""))</f>
        <v/>
      </c>
      <c r="BK10" s="78" t="str">
        <f>IF(AND($D10&gt;0,BK$6&gt;=$D10,BK$6&lt;=$E10),1,IF(AND($F10&gt;0,BK$6=$F10),"◆",""))</f>
        <v/>
      </c>
      <c r="BL10" s="78" t="str">
        <f>IF(AND($D10&gt;0,BL$6&gt;=$D10,BL$6&lt;=$E10),1,IF(AND($F10&gt;0,BL$6=$F10),"◆",""))</f>
        <v/>
      </c>
      <c r="BM10" s="78" t="str">
        <f>IF(AND($D10&gt;0,BM$6&gt;=$D10,BM$6&lt;=$E10),1,IF(AND($F10&gt;0,BM$6=$F10),"◆",""))</f>
        <v/>
      </c>
      <c r="BN10" s="78" t="str">
        <f>IF(AND($D10&gt;0,BN$6&gt;=$D10,BN$6&lt;=$E10),1,IF(AND($F10&gt;0,BN$6=$F10),"◆",""))</f>
        <v/>
      </c>
      <c r="BO10" s="78" t="str">
        <f>IF(AND($D10&gt;0,BO$6&gt;=$D10,BO$6&lt;=$E10),1,IF(AND($F10&gt;0,BO$6=$F10),"◆",""))</f>
        <v/>
      </c>
      <c r="BP10" s="78" t="str">
        <f>IF(AND($D10&gt;0,BP$6&gt;=$D10,BP$6&lt;=$E10),1,IF(AND($F10&gt;0,BP$6=$F10),"◆",""))</f>
        <v/>
      </c>
    </row>
    <row r="11">
      <c r="A11" s="75" t="str">
        <f>IF(INDEX(of_ref,5)="","",INDEX(of_num,5)&amp;"")</f>
        <v>OF-2611-005</v>
      </c>
      <c r="B11" s="75" t="str">
        <f>IF(INDEX(of_ref,5)="","",INDEX(of_des,5)&amp;"")</f>
        <v>Bras de suspension soudé</v>
      </c>
      <c r="C11" s="76" t="str">
        <f>IF(INDEX(of_ref,5)="","",INDEX(of_poste,5)&amp;"")</f>
        <v>SOUD</v>
      </c>
      <c r="D11" s="77">
        <f>INDEX(of_start,5)</f>
        <v>46328.0</v>
      </c>
      <c r="E11" s="77">
        <f>INDEX(of_end,5)</f>
        <v>46330.0</v>
      </c>
      <c r="F11" s="77">
        <f>IF(N(INDEX(of_need,5))=0,0,INDEX(of_need,5))</f>
        <v>46338.0</v>
      </c>
      <c r="G11" s="76" t="str">
        <f>IF(INDEX(of_ref,5)="","",INDEX(of_etat,5)&amp;"")</f>
        <v>À l'heure</v>
      </c>
      <c r="I11" s="78">
        <f>IF(AND($D11&gt;0,I$6&gt;=$D11,I$6&lt;=$E11),1,IF(AND($F11&gt;0,I$6=$F11),"◆",""))</f>
        <v>1.0</v>
      </c>
      <c r="J11" s="78">
        <f>IF(AND($D11&gt;0,J$6&gt;=$D11,J$6&lt;=$E11),1,IF(AND($F11&gt;0,J$6=$F11),"◆",""))</f>
        <v>1.0</v>
      </c>
      <c r="K11" s="78">
        <f>IF(AND($D11&gt;0,K$6&gt;=$D11,K$6&lt;=$E11),1,IF(AND($F11&gt;0,K$6=$F11),"◆",""))</f>
        <v>1.0</v>
      </c>
      <c r="L11" s="78" t="str">
        <f>IF(AND($D11&gt;0,L$6&gt;=$D11,L$6&lt;=$E11),1,IF(AND($F11&gt;0,L$6=$F11),"◆",""))</f>
        <v/>
      </c>
      <c r="M11" s="78" t="str">
        <f>IF(AND($D11&gt;0,M$6&gt;=$D11,M$6&lt;=$E11),1,IF(AND($F11&gt;0,M$6=$F11),"◆",""))</f>
        <v/>
      </c>
      <c r="N11" s="78" t="str">
        <f>IF(AND($D11&gt;0,N$6&gt;=$D11,N$6&lt;=$E11),1,IF(AND($F11&gt;0,N$6=$F11),"◆",""))</f>
        <v/>
      </c>
      <c r="O11" s="78" t="str">
        <f>IF(AND($D11&gt;0,O$6&gt;=$D11,O$6&lt;=$E11),1,IF(AND($F11&gt;0,O$6=$F11),"◆",""))</f>
        <v/>
      </c>
      <c r="P11" s="78" t="str">
        <f>IF(AND($D11&gt;0,P$6&gt;=$D11,P$6&lt;=$E11),1,IF(AND($F11&gt;0,P$6=$F11),"◆",""))</f>
        <v>◆</v>
      </c>
      <c r="Q11" s="78" t="str">
        <f>IF(AND($D11&gt;0,Q$6&gt;=$D11,Q$6&lt;=$E11),1,IF(AND($F11&gt;0,Q$6=$F11),"◆",""))</f>
        <v/>
      </c>
      <c r="R11" s="78" t="str">
        <f>IF(AND($D11&gt;0,R$6&gt;=$D11,R$6&lt;=$E11),1,IF(AND($F11&gt;0,R$6=$F11),"◆",""))</f>
        <v/>
      </c>
      <c r="S11" s="78" t="str">
        <f>IF(AND($D11&gt;0,S$6&gt;=$D11,S$6&lt;=$E11),1,IF(AND($F11&gt;0,S$6=$F11),"◆",""))</f>
        <v/>
      </c>
      <c r="T11" s="78" t="str">
        <f>IF(AND($D11&gt;0,T$6&gt;=$D11,T$6&lt;=$E11),1,IF(AND($F11&gt;0,T$6=$F11),"◆",""))</f>
        <v/>
      </c>
      <c r="U11" s="78" t="str">
        <f>IF(AND($D11&gt;0,U$6&gt;=$D11,U$6&lt;=$E11),1,IF(AND($F11&gt;0,U$6=$F11),"◆",""))</f>
        <v/>
      </c>
      <c r="V11" s="78" t="str">
        <f>IF(AND($D11&gt;0,V$6&gt;=$D11,V$6&lt;=$E11),1,IF(AND($F11&gt;0,V$6=$F11),"◆",""))</f>
        <v/>
      </c>
      <c r="W11" s="78" t="str">
        <f>IF(AND($D11&gt;0,W$6&gt;=$D11,W$6&lt;=$E11),1,IF(AND($F11&gt;0,W$6=$F11),"◆",""))</f>
        <v/>
      </c>
      <c r="X11" s="78" t="str">
        <f>IF(AND($D11&gt;0,X$6&gt;=$D11,X$6&lt;=$E11),1,IF(AND($F11&gt;0,X$6=$F11),"◆",""))</f>
        <v/>
      </c>
      <c r="Y11" s="78" t="str">
        <f>IF(AND($D11&gt;0,Y$6&gt;=$D11,Y$6&lt;=$E11),1,IF(AND($F11&gt;0,Y$6=$F11),"◆",""))</f>
        <v/>
      </c>
      <c r="Z11" s="78" t="str">
        <f>IF(AND($D11&gt;0,Z$6&gt;=$D11,Z$6&lt;=$E11),1,IF(AND($F11&gt;0,Z$6=$F11),"◆",""))</f>
        <v/>
      </c>
      <c r="AA11" s="78" t="str">
        <f>IF(AND($D11&gt;0,AA$6&gt;=$D11,AA$6&lt;=$E11),1,IF(AND($F11&gt;0,AA$6=$F11),"◆",""))</f>
        <v/>
      </c>
      <c r="AB11" s="78" t="str">
        <f>IF(AND($D11&gt;0,AB$6&gt;=$D11,AB$6&lt;=$E11),1,IF(AND($F11&gt;0,AB$6=$F11),"◆",""))</f>
        <v/>
      </c>
      <c r="AC11" s="78" t="str">
        <f>IF(AND($D11&gt;0,AC$6&gt;=$D11,AC$6&lt;=$E11),1,IF(AND($F11&gt;0,AC$6=$F11),"◆",""))</f>
        <v/>
      </c>
      <c r="AD11" s="78" t="str">
        <f>IF(AND($D11&gt;0,AD$6&gt;=$D11,AD$6&lt;=$E11),1,IF(AND($F11&gt;0,AD$6=$F11),"◆",""))</f>
        <v/>
      </c>
      <c r="AE11" s="78" t="str">
        <f>IF(AND($D11&gt;0,AE$6&gt;=$D11,AE$6&lt;=$E11),1,IF(AND($F11&gt;0,AE$6=$F11),"◆",""))</f>
        <v/>
      </c>
      <c r="AF11" s="78" t="str">
        <f>IF(AND($D11&gt;0,AF$6&gt;=$D11,AF$6&lt;=$E11),1,IF(AND($F11&gt;0,AF$6=$F11),"◆",""))</f>
        <v/>
      </c>
      <c r="AG11" s="78" t="str">
        <f>IF(AND($D11&gt;0,AG$6&gt;=$D11,AG$6&lt;=$E11),1,IF(AND($F11&gt;0,AG$6=$F11),"◆",""))</f>
        <v/>
      </c>
      <c r="AH11" s="78" t="str">
        <f>IF(AND($D11&gt;0,AH$6&gt;=$D11,AH$6&lt;=$E11),1,IF(AND($F11&gt;0,AH$6=$F11),"◆",""))</f>
        <v/>
      </c>
      <c r="AI11" s="78" t="str">
        <f>IF(AND($D11&gt;0,AI$6&gt;=$D11,AI$6&lt;=$E11),1,IF(AND($F11&gt;0,AI$6=$F11),"◆",""))</f>
        <v/>
      </c>
      <c r="AJ11" s="78" t="str">
        <f>IF(AND($D11&gt;0,AJ$6&gt;=$D11,AJ$6&lt;=$E11),1,IF(AND($F11&gt;0,AJ$6=$F11),"◆",""))</f>
        <v/>
      </c>
      <c r="AK11" s="78" t="str">
        <f>IF(AND($D11&gt;0,AK$6&gt;=$D11,AK$6&lt;=$E11),1,IF(AND($F11&gt;0,AK$6=$F11),"◆",""))</f>
        <v/>
      </c>
      <c r="AL11" s="78" t="str">
        <f>IF(AND($D11&gt;0,AL$6&gt;=$D11,AL$6&lt;=$E11),1,IF(AND($F11&gt;0,AL$6=$F11),"◆",""))</f>
        <v/>
      </c>
      <c r="AM11" s="78" t="str">
        <f>IF(AND($D11&gt;0,AM$6&gt;=$D11,AM$6&lt;=$E11),1,IF(AND($F11&gt;0,AM$6=$F11),"◆",""))</f>
        <v/>
      </c>
      <c r="AN11" s="78" t="str">
        <f>IF(AND($D11&gt;0,AN$6&gt;=$D11,AN$6&lt;=$E11),1,IF(AND($F11&gt;0,AN$6=$F11),"◆",""))</f>
        <v/>
      </c>
      <c r="AO11" s="78" t="str">
        <f>IF(AND($D11&gt;0,AO$6&gt;=$D11,AO$6&lt;=$E11),1,IF(AND($F11&gt;0,AO$6=$F11),"◆",""))</f>
        <v/>
      </c>
      <c r="AP11" s="78" t="str">
        <f>IF(AND($D11&gt;0,AP$6&gt;=$D11,AP$6&lt;=$E11),1,IF(AND($F11&gt;0,AP$6=$F11),"◆",""))</f>
        <v/>
      </c>
      <c r="AQ11" s="78" t="str">
        <f>IF(AND($D11&gt;0,AQ$6&gt;=$D11,AQ$6&lt;=$E11),1,IF(AND($F11&gt;0,AQ$6=$F11),"◆",""))</f>
        <v/>
      </c>
      <c r="AR11" s="78" t="str">
        <f>IF(AND($D11&gt;0,AR$6&gt;=$D11,AR$6&lt;=$E11),1,IF(AND($F11&gt;0,AR$6=$F11),"◆",""))</f>
        <v/>
      </c>
      <c r="AS11" s="78" t="str">
        <f>IF(AND($D11&gt;0,AS$6&gt;=$D11,AS$6&lt;=$E11),1,IF(AND($F11&gt;0,AS$6=$F11),"◆",""))</f>
        <v/>
      </c>
      <c r="AT11" s="78" t="str">
        <f>IF(AND($D11&gt;0,AT$6&gt;=$D11,AT$6&lt;=$E11),1,IF(AND($F11&gt;0,AT$6=$F11),"◆",""))</f>
        <v/>
      </c>
      <c r="AU11" s="78" t="str">
        <f>IF(AND($D11&gt;0,AU$6&gt;=$D11,AU$6&lt;=$E11),1,IF(AND($F11&gt;0,AU$6=$F11),"◆",""))</f>
        <v/>
      </c>
      <c r="AV11" s="78" t="str">
        <f>IF(AND($D11&gt;0,AV$6&gt;=$D11,AV$6&lt;=$E11),1,IF(AND($F11&gt;0,AV$6=$F11),"◆",""))</f>
        <v/>
      </c>
      <c r="AW11" s="78" t="str">
        <f>IF(AND($D11&gt;0,AW$6&gt;=$D11,AW$6&lt;=$E11),1,IF(AND($F11&gt;0,AW$6=$F11),"◆",""))</f>
        <v/>
      </c>
      <c r="AX11" s="78" t="str">
        <f>IF(AND($D11&gt;0,AX$6&gt;=$D11,AX$6&lt;=$E11),1,IF(AND($F11&gt;0,AX$6=$F11),"◆",""))</f>
        <v/>
      </c>
      <c r="AY11" s="78" t="str">
        <f>IF(AND($D11&gt;0,AY$6&gt;=$D11,AY$6&lt;=$E11),1,IF(AND($F11&gt;0,AY$6=$F11),"◆",""))</f>
        <v/>
      </c>
      <c r="AZ11" s="78" t="str">
        <f>IF(AND($D11&gt;0,AZ$6&gt;=$D11,AZ$6&lt;=$E11),1,IF(AND($F11&gt;0,AZ$6=$F11),"◆",""))</f>
        <v/>
      </c>
      <c r="BA11" s="78" t="str">
        <f>IF(AND($D11&gt;0,BA$6&gt;=$D11,BA$6&lt;=$E11),1,IF(AND($F11&gt;0,BA$6=$F11),"◆",""))</f>
        <v/>
      </c>
      <c r="BB11" s="78" t="str">
        <f>IF(AND($D11&gt;0,BB$6&gt;=$D11,BB$6&lt;=$E11),1,IF(AND($F11&gt;0,BB$6=$F11),"◆",""))</f>
        <v/>
      </c>
      <c r="BC11" s="78" t="str">
        <f>IF(AND($D11&gt;0,BC$6&gt;=$D11,BC$6&lt;=$E11),1,IF(AND($F11&gt;0,BC$6=$F11),"◆",""))</f>
        <v/>
      </c>
      <c r="BD11" s="78" t="str">
        <f>IF(AND($D11&gt;0,BD$6&gt;=$D11,BD$6&lt;=$E11),1,IF(AND($F11&gt;0,BD$6=$F11),"◆",""))</f>
        <v/>
      </c>
      <c r="BE11" s="78" t="str">
        <f>IF(AND($D11&gt;0,BE$6&gt;=$D11,BE$6&lt;=$E11),1,IF(AND($F11&gt;0,BE$6=$F11),"◆",""))</f>
        <v/>
      </c>
      <c r="BF11" s="78" t="str">
        <f>IF(AND($D11&gt;0,BF$6&gt;=$D11,BF$6&lt;=$E11),1,IF(AND($F11&gt;0,BF$6=$F11),"◆",""))</f>
        <v/>
      </c>
      <c r="BG11" s="78" t="str">
        <f>IF(AND($D11&gt;0,BG$6&gt;=$D11,BG$6&lt;=$E11),1,IF(AND($F11&gt;0,BG$6=$F11),"◆",""))</f>
        <v/>
      </c>
      <c r="BH11" s="78" t="str">
        <f>IF(AND($D11&gt;0,BH$6&gt;=$D11,BH$6&lt;=$E11),1,IF(AND($F11&gt;0,BH$6=$F11),"◆",""))</f>
        <v/>
      </c>
      <c r="BI11" s="78" t="str">
        <f>IF(AND($D11&gt;0,BI$6&gt;=$D11,BI$6&lt;=$E11),1,IF(AND($F11&gt;0,BI$6=$F11),"◆",""))</f>
        <v/>
      </c>
      <c r="BJ11" s="78" t="str">
        <f>IF(AND($D11&gt;0,BJ$6&gt;=$D11,BJ$6&lt;=$E11),1,IF(AND($F11&gt;0,BJ$6=$F11),"◆",""))</f>
        <v/>
      </c>
      <c r="BK11" s="78" t="str">
        <f>IF(AND($D11&gt;0,BK$6&gt;=$D11,BK$6&lt;=$E11),1,IF(AND($F11&gt;0,BK$6=$F11),"◆",""))</f>
        <v/>
      </c>
      <c r="BL11" s="78" t="str">
        <f>IF(AND($D11&gt;0,BL$6&gt;=$D11,BL$6&lt;=$E11),1,IF(AND($F11&gt;0,BL$6=$F11),"◆",""))</f>
        <v/>
      </c>
      <c r="BM11" s="78" t="str">
        <f>IF(AND($D11&gt;0,BM$6&gt;=$D11,BM$6&lt;=$E11),1,IF(AND($F11&gt;0,BM$6=$F11),"◆",""))</f>
        <v/>
      </c>
      <c r="BN11" s="78" t="str">
        <f>IF(AND($D11&gt;0,BN$6&gt;=$D11,BN$6&lt;=$E11),1,IF(AND($F11&gt;0,BN$6=$F11),"◆",""))</f>
        <v/>
      </c>
      <c r="BO11" s="78" t="str">
        <f>IF(AND($D11&gt;0,BO$6&gt;=$D11,BO$6&lt;=$E11),1,IF(AND($F11&gt;0,BO$6=$F11),"◆",""))</f>
        <v/>
      </c>
      <c r="BP11" s="78" t="str">
        <f>IF(AND($D11&gt;0,BP$6&gt;=$D11,BP$6&lt;=$E11),1,IF(AND($F11&gt;0,BP$6=$F11),"◆",""))</f>
        <v/>
      </c>
    </row>
    <row r="12">
      <c r="A12" s="75" t="str">
        <f>IF(INDEX(of_ref,6)="","",INDEX(of_num,6)&amp;"")</f>
        <v>OF-2611-006</v>
      </c>
      <c r="B12" s="75" t="str">
        <f>IF(INDEX(of_ref,6)="","",INDEX(of_des,6)&amp;"")</f>
        <v>Carter de boîte usiné</v>
      </c>
      <c r="C12" s="76" t="str">
        <f>IF(INDEX(of_ref,6)="","",INDEX(of_poste,6)&amp;"")</f>
        <v>FRAIS</v>
      </c>
      <c r="D12" s="77">
        <f>INDEX(of_start,6)</f>
        <v>46330.0</v>
      </c>
      <c r="E12" s="77">
        <f>INDEX(of_end,6)</f>
        <v>46331.0</v>
      </c>
      <c r="F12" s="77">
        <f>IF(N(INDEX(of_need,6))=0,0,INDEX(of_need,6))</f>
        <v>46330.0</v>
      </c>
      <c r="G12" s="76" t="str">
        <f>IF(INDEX(of_ref,6)="","",INDEX(of_etat,6)&amp;"")</f>
        <v>En retard</v>
      </c>
      <c r="I12" s="78" t="str">
        <f>IF(AND($D12&gt;0,I$6&gt;=$D12,I$6&lt;=$E12),1,IF(AND($F12&gt;0,I$6=$F12),"◆",""))</f>
        <v/>
      </c>
      <c r="J12" s="78" t="str">
        <f>IF(AND($D12&gt;0,J$6&gt;=$D12,J$6&lt;=$E12),1,IF(AND($F12&gt;0,J$6=$F12),"◆",""))</f>
        <v/>
      </c>
      <c r="K12" s="78">
        <f>IF(AND($D12&gt;0,K$6&gt;=$D12,K$6&lt;=$E12),1,IF(AND($F12&gt;0,K$6=$F12),"◆",""))</f>
        <v>1.0</v>
      </c>
      <c r="L12" s="78">
        <f>IF(AND($D12&gt;0,L$6&gt;=$D12,L$6&lt;=$E12),1,IF(AND($F12&gt;0,L$6=$F12),"◆",""))</f>
        <v>1.0</v>
      </c>
      <c r="M12" s="78" t="str">
        <f>IF(AND($D12&gt;0,M$6&gt;=$D12,M$6&lt;=$E12),1,IF(AND($F12&gt;0,M$6=$F12),"◆",""))</f>
        <v/>
      </c>
      <c r="N12" s="78" t="str">
        <f>IF(AND($D12&gt;0,N$6&gt;=$D12,N$6&lt;=$E12),1,IF(AND($F12&gt;0,N$6=$F12),"◆",""))</f>
        <v/>
      </c>
      <c r="O12" s="78" t="str">
        <f>IF(AND($D12&gt;0,O$6&gt;=$D12,O$6&lt;=$E12),1,IF(AND($F12&gt;0,O$6=$F12),"◆",""))</f>
        <v/>
      </c>
      <c r="P12" s="78" t="str">
        <f>IF(AND($D12&gt;0,P$6&gt;=$D12,P$6&lt;=$E12),1,IF(AND($F12&gt;0,P$6=$F12),"◆",""))</f>
        <v/>
      </c>
      <c r="Q12" s="78" t="str">
        <f>IF(AND($D12&gt;0,Q$6&gt;=$D12,Q$6&lt;=$E12),1,IF(AND($F12&gt;0,Q$6=$F12),"◆",""))</f>
        <v/>
      </c>
      <c r="R12" s="78" t="str">
        <f>IF(AND($D12&gt;0,R$6&gt;=$D12,R$6&lt;=$E12),1,IF(AND($F12&gt;0,R$6=$F12),"◆",""))</f>
        <v/>
      </c>
      <c r="S12" s="78" t="str">
        <f>IF(AND($D12&gt;0,S$6&gt;=$D12,S$6&lt;=$E12),1,IF(AND($F12&gt;0,S$6=$F12),"◆",""))</f>
        <v/>
      </c>
      <c r="T12" s="78" t="str">
        <f>IF(AND($D12&gt;0,T$6&gt;=$D12,T$6&lt;=$E12),1,IF(AND($F12&gt;0,T$6=$F12),"◆",""))</f>
        <v/>
      </c>
      <c r="U12" s="78" t="str">
        <f>IF(AND($D12&gt;0,U$6&gt;=$D12,U$6&lt;=$E12),1,IF(AND($F12&gt;0,U$6=$F12),"◆",""))</f>
        <v/>
      </c>
      <c r="V12" s="78" t="str">
        <f>IF(AND($D12&gt;0,V$6&gt;=$D12,V$6&lt;=$E12),1,IF(AND($F12&gt;0,V$6=$F12),"◆",""))</f>
        <v/>
      </c>
      <c r="W12" s="78" t="str">
        <f>IF(AND($D12&gt;0,W$6&gt;=$D12,W$6&lt;=$E12),1,IF(AND($F12&gt;0,W$6=$F12),"◆",""))</f>
        <v/>
      </c>
      <c r="X12" s="78" t="str">
        <f>IF(AND($D12&gt;0,X$6&gt;=$D12,X$6&lt;=$E12),1,IF(AND($F12&gt;0,X$6=$F12),"◆",""))</f>
        <v/>
      </c>
      <c r="Y12" s="78" t="str">
        <f>IF(AND($D12&gt;0,Y$6&gt;=$D12,Y$6&lt;=$E12),1,IF(AND($F12&gt;0,Y$6=$F12),"◆",""))</f>
        <v/>
      </c>
      <c r="Z12" s="78" t="str">
        <f>IF(AND($D12&gt;0,Z$6&gt;=$D12,Z$6&lt;=$E12),1,IF(AND($F12&gt;0,Z$6=$F12),"◆",""))</f>
        <v/>
      </c>
      <c r="AA12" s="78" t="str">
        <f>IF(AND($D12&gt;0,AA$6&gt;=$D12,AA$6&lt;=$E12),1,IF(AND($F12&gt;0,AA$6=$F12),"◆",""))</f>
        <v/>
      </c>
      <c r="AB12" s="78" t="str">
        <f>IF(AND($D12&gt;0,AB$6&gt;=$D12,AB$6&lt;=$E12),1,IF(AND($F12&gt;0,AB$6=$F12),"◆",""))</f>
        <v/>
      </c>
      <c r="AC12" s="78" t="str">
        <f>IF(AND($D12&gt;0,AC$6&gt;=$D12,AC$6&lt;=$E12),1,IF(AND($F12&gt;0,AC$6=$F12),"◆",""))</f>
        <v/>
      </c>
      <c r="AD12" s="78" t="str">
        <f>IF(AND($D12&gt;0,AD$6&gt;=$D12,AD$6&lt;=$E12),1,IF(AND($F12&gt;0,AD$6=$F12),"◆",""))</f>
        <v/>
      </c>
      <c r="AE12" s="78" t="str">
        <f>IF(AND($D12&gt;0,AE$6&gt;=$D12,AE$6&lt;=$E12),1,IF(AND($F12&gt;0,AE$6=$F12),"◆",""))</f>
        <v/>
      </c>
      <c r="AF12" s="78" t="str">
        <f>IF(AND($D12&gt;0,AF$6&gt;=$D12,AF$6&lt;=$E12),1,IF(AND($F12&gt;0,AF$6=$F12),"◆",""))</f>
        <v/>
      </c>
      <c r="AG12" s="78" t="str">
        <f>IF(AND($D12&gt;0,AG$6&gt;=$D12,AG$6&lt;=$E12),1,IF(AND($F12&gt;0,AG$6=$F12),"◆",""))</f>
        <v/>
      </c>
      <c r="AH12" s="78" t="str">
        <f>IF(AND($D12&gt;0,AH$6&gt;=$D12,AH$6&lt;=$E12),1,IF(AND($F12&gt;0,AH$6=$F12),"◆",""))</f>
        <v/>
      </c>
      <c r="AI12" s="78" t="str">
        <f>IF(AND($D12&gt;0,AI$6&gt;=$D12,AI$6&lt;=$E12),1,IF(AND($F12&gt;0,AI$6=$F12),"◆",""))</f>
        <v/>
      </c>
      <c r="AJ12" s="78" t="str">
        <f>IF(AND($D12&gt;0,AJ$6&gt;=$D12,AJ$6&lt;=$E12),1,IF(AND($F12&gt;0,AJ$6=$F12),"◆",""))</f>
        <v/>
      </c>
      <c r="AK12" s="78" t="str">
        <f>IF(AND($D12&gt;0,AK$6&gt;=$D12,AK$6&lt;=$E12),1,IF(AND($F12&gt;0,AK$6=$F12),"◆",""))</f>
        <v/>
      </c>
      <c r="AL12" s="78" t="str">
        <f>IF(AND($D12&gt;0,AL$6&gt;=$D12,AL$6&lt;=$E12),1,IF(AND($F12&gt;0,AL$6=$F12),"◆",""))</f>
        <v/>
      </c>
      <c r="AM12" s="78" t="str">
        <f>IF(AND($D12&gt;0,AM$6&gt;=$D12,AM$6&lt;=$E12),1,IF(AND($F12&gt;0,AM$6=$F12),"◆",""))</f>
        <v/>
      </c>
      <c r="AN12" s="78" t="str">
        <f>IF(AND($D12&gt;0,AN$6&gt;=$D12,AN$6&lt;=$E12),1,IF(AND($F12&gt;0,AN$6=$F12),"◆",""))</f>
        <v/>
      </c>
      <c r="AO12" s="78" t="str">
        <f>IF(AND($D12&gt;0,AO$6&gt;=$D12,AO$6&lt;=$E12),1,IF(AND($F12&gt;0,AO$6=$F12),"◆",""))</f>
        <v/>
      </c>
      <c r="AP12" s="78" t="str">
        <f>IF(AND($D12&gt;0,AP$6&gt;=$D12,AP$6&lt;=$E12),1,IF(AND($F12&gt;0,AP$6=$F12),"◆",""))</f>
        <v/>
      </c>
      <c r="AQ12" s="78" t="str">
        <f>IF(AND($D12&gt;0,AQ$6&gt;=$D12,AQ$6&lt;=$E12),1,IF(AND($F12&gt;0,AQ$6=$F12),"◆",""))</f>
        <v/>
      </c>
      <c r="AR12" s="78" t="str">
        <f>IF(AND($D12&gt;0,AR$6&gt;=$D12,AR$6&lt;=$E12),1,IF(AND($F12&gt;0,AR$6=$F12),"◆",""))</f>
        <v/>
      </c>
      <c r="AS12" s="78" t="str">
        <f>IF(AND($D12&gt;0,AS$6&gt;=$D12,AS$6&lt;=$E12),1,IF(AND($F12&gt;0,AS$6=$F12),"◆",""))</f>
        <v/>
      </c>
      <c r="AT12" s="78" t="str">
        <f>IF(AND($D12&gt;0,AT$6&gt;=$D12,AT$6&lt;=$E12),1,IF(AND($F12&gt;0,AT$6=$F12),"◆",""))</f>
        <v/>
      </c>
      <c r="AU12" s="78" t="str">
        <f>IF(AND($D12&gt;0,AU$6&gt;=$D12,AU$6&lt;=$E12),1,IF(AND($F12&gt;0,AU$6=$F12),"◆",""))</f>
        <v/>
      </c>
      <c r="AV12" s="78" t="str">
        <f>IF(AND($D12&gt;0,AV$6&gt;=$D12,AV$6&lt;=$E12),1,IF(AND($F12&gt;0,AV$6=$F12),"◆",""))</f>
        <v/>
      </c>
      <c r="AW12" s="78" t="str">
        <f>IF(AND($D12&gt;0,AW$6&gt;=$D12,AW$6&lt;=$E12),1,IF(AND($F12&gt;0,AW$6=$F12),"◆",""))</f>
        <v/>
      </c>
      <c r="AX12" s="78" t="str">
        <f>IF(AND($D12&gt;0,AX$6&gt;=$D12,AX$6&lt;=$E12),1,IF(AND($F12&gt;0,AX$6=$F12),"◆",""))</f>
        <v/>
      </c>
      <c r="AY12" s="78" t="str">
        <f>IF(AND($D12&gt;0,AY$6&gt;=$D12,AY$6&lt;=$E12),1,IF(AND($F12&gt;0,AY$6=$F12),"◆",""))</f>
        <v/>
      </c>
      <c r="AZ12" s="78" t="str">
        <f>IF(AND($D12&gt;0,AZ$6&gt;=$D12,AZ$6&lt;=$E12),1,IF(AND($F12&gt;0,AZ$6=$F12),"◆",""))</f>
        <v/>
      </c>
      <c r="BA12" s="78" t="str">
        <f>IF(AND($D12&gt;0,BA$6&gt;=$D12,BA$6&lt;=$E12),1,IF(AND($F12&gt;0,BA$6=$F12),"◆",""))</f>
        <v/>
      </c>
      <c r="BB12" s="78" t="str">
        <f>IF(AND($D12&gt;0,BB$6&gt;=$D12,BB$6&lt;=$E12),1,IF(AND($F12&gt;0,BB$6=$F12),"◆",""))</f>
        <v/>
      </c>
      <c r="BC12" s="78" t="str">
        <f>IF(AND($D12&gt;0,BC$6&gt;=$D12,BC$6&lt;=$E12),1,IF(AND($F12&gt;0,BC$6=$F12),"◆",""))</f>
        <v/>
      </c>
      <c r="BD12" s="78" t="str">
        <f>IF(AND($D12&gt;0,BD$6&gt;=$D12,BD$6&lt;=$E12),1,IF(AND($F12&gt;0,BD$6=$F12),"◆",""))</f>
        <v/>
      </c>
      <c r="BE12" s="78" t="str">
        <f>IF(AND($D12&gt;0,BE$6&gt;=$D12,BE$6&lt;=$E12),1,IF(AND($F12&gt;0,BE$6=$F12),"◆",""))</f>
        <v/>
      </c>
      <c r="BF12" s="78" t="str">
        <f>IF(AND($D12&gt;0,BF$6&gt;=$D12,BF$6&lt;=$E12),1,IF(AND($F12&gt;0,BF$6=$F12),"◆",""))</f>
        <v/>
      </c>
      <c r="BG12" s="78" t="str">
        <f>IF(AND($D12&gt;0,BG$6&gt;=$D12,BG$6&lt;=$E12),1,IF(AND($F12&gt;0,BG$6=$F12),"◆",""))</f>
        <v/>
      </c>
      <c r="BH12" s="78" t="str">
        <f>IF(AND($D12&gt;0,BH$6&gt;=$D12,BH$6&lt;=$E12),1,IF(AND($F12&gt;0,BH$6=$F12),"◆",""))</f>
        <v/>
      </c>
      <c r="BI12" s="78" t="str">
        <f>IF(AND($D12&gt;0,BI$6&gt;=$D12,BI$6&lt;=$E12),1,IF(AND($F12&gt;0,BI$6=$F12),"◆",""))</f>
        <v/>
      </c>
      <c r="BJ12" s="78" t="str">
        <f>IF(AND($D12&gt;0,BJ$6&gt;=$D12,BJ$6&lt;=$E12),1,IF(AND($F12&gt;0,BJ$6=$F12),"◆",""))</f>
        <v/>
      </c>
      <c r="BK12" s="78" t="str">
        <f>IF(AND($D12&gt;0,BK$6&gt;=$D12,BK$6&lt;=$E12),1,IF(AND($F12&gt;0,BK$6=$F12),"◆",""))</f>
        <v/>
      </c>
      <c r="BL12" s="78" t="str">
        <f>IF(AND($D12&gt;0,BL$6&gt;=$D12,BL$6&lt;=$E12),1,IF(AND($F12&gt;0,BL$6=$F12),"◆",""))</f>
        <v/>
      </c>
      <c r="BM12" s="78" t="str">
        <f>IF(AND($D12&gt;0,BM$6&gt;=$D12,BM$6&lt;=$E12),1,IF(AND($F12&gt;0,BM$6=$F12),"◆",""))</f>
        <v/>
      </c>
      <c r="BN12" s="78" t="str">
        <f>IF(AND($D12&gt;0,BN$6&gt;=$D12,BN$6&lt;=$E12),1,IF(AND($F12&gt;0,BN$6=$F12),"◆",""))</f>
        <v/>
      </c>
      <c r="BO12" s="78" t="str">
        <f>IF(AND($D12&gt;0,BO$6&gt;=$D12,BO$6&lt;=$E12),1,IF(AND($F12&gt;0,BO$6=$F12),"◆",""))</f>
        <v/>
      </c>
      <c r="BP12" s="78" t="str">
        <f>IF(AND($D12&gt;0,BP$6&gt;=$D12,BP$6&lt;=$E12),1,IF(AND($F12&gt;0,BP$6=$F12),"◆",""))</f>
        <v/>
      </c>
    </row>
    <row r="13">
      <c r="A13" s="75" t="str">
        <f>IF(INDEX(of_ref,7)="","",INDEX(of_num,7)&amp;"")</f>
        <v>OF-2611-007</v>
      </c>
      <c r="B13" s="75" t="str">
        <f>IF(INDEX(of_ref,7)="","",INDEX(of_des,7)&amp;"")</f>
        <v>Bague bronze Ø32</v>
      </c>
      <c r="C13" s="76" t="str">
        <f>IF(INDEX(of_ref,7)="","",INDEX(of_poste,7)&amp;"")</f>
        <v>TOUR</v>
      </c>
      <c r="D13" s="77">
        <f>INDEX(of_start,7)</f>
        <v>46328.0</v>
      </c>
      <c r="E13" s="77">
        <f>INDEX(of_end,7)</f>
        <v>46330.0</v>
      </c>
      <c r="F13" s="77">
        <f>IF(N(INDEX(of_need,7))=0,0,INDEX(of_need,7))</f>
        <v>46346.0</v>
      </c>
      <c r="G13" s="76" t="str">
        <f>IF(INDEX(of_ref,7)="","",INDEX(of_etat,7)&amp;"")</f>
        <v>À l'heure</v>
      </c>
      <c r="I13" s="78">
        <f>IF(AND($D13&gt;0,I$6&gt;=$D13,I$6&lt;=$E13),1,IF(AND($F13&gt;0,I$6=$F13),"◆",""))</f>
        <v>1.0</v>
      </c>
      <c r="J13" s="78">
        <f>IF(AND($D13&gt;0,J$6&gt;=$D13,J$6&lt;=$E13),1,IF(AND($F13&gt;0,J$6=$F13),"◆",""))</f>
        <v>1.0</v>
      </c>
      <c r="K13" s="78">
        <f>IF(AND($D13&gt;0,K$6&gt;=$D13,K$6&lt;=$E13),1,IF(AND($F13&gt;0,K$6=$F13),"◆",""))</f>
        <v>1.0</v>
      </c>
      <c r="L13" s="78" t="str">
        <f>IF(AND($D13&gt;0,L$6&gt;=$D13,L$6&lt;=$E13),1,IF(AND($F13&gt;0,L$6=$F13),"◆",""))</f>
        <v/>
      </c>
      <c r="M13" s="78" t="str">
        <f>IF(AND($D13&gt;0,M$6&gt;=$D13,M$6&lt;=$E13),1,IF(AND($F13&gt;0,M$6=$F13),"◆",""))</f>
        <v/>
      </c>
      <c r="N13" s="78" t="str">
        <f>IF(AND($D13&gt;0,N$6&gt;=$D13,N$6&lt;=$E13),1,IF(AND($F13&gt;0,N$6=$F13),"◆",""))</f>
        <v/>
      </c>
      <c r="O13" s="78" t="str">
        <f>IF(AND($D13&gt;0,O$6&gt;=$D13,O$6&lt;=$E13),1,IF(AND($F13&gt;0,O$6=$F13),"◆",""))</f>
        <v/>
      </c>
      <c r="P13" s="78" t="str">
        <f>IF(AND($D13&gt;0,P$6&gt;=$D13,P$6&lt;=$E13),1,IF(AND($F13&gt;0,P$6=$F13),"◆",""))</f>
        <v/>
      </c>
      <c r="Q13" s="78" t="str">
        <f>IF(AND($D13&gt;0,Q$6&gt;=$D13,Q$6&lt;=$E13),1,IF(AND($F13&gt;0,Q$6=$F13),"◆",""))</f>
        <v/>
      </c>
      <c r="R13" s="78" t="str">
        <f>IF(AND($D13&gt;0,R$6&gt;=$D13,R$6&lt;=$E13),1,IF(AND($F13&gt;0,R$6=$F13),"◆",""))</f>
        <v/>
      </c>
      <c r="S13" s="78" t="str">
        <f>IF(AND($D13&gt;0,S$6&gt;=$D13,S$6&lt;=$E13),1,IF(AND($F13&gt;0,S$6=$F13),"◆",""))</f>
        <v/>
      </c>
      <c r="T13" s="78" t="str">
        <f>IF(AND($D13&gt;0,T$6&gt;=$D13,T$6&lt;=$E13),1,IF(AND($F13&gt;0,T$6=$F13),"◆",""))</f>
        <v/>
      </c>
      <c r="U13" s="78" t="str">
        <f>IF(AND($D13&gt;0,U$6&gt;=$D13,U$6&lt;=$E13),1,IF(AND($F13&gt;0,U$6=$F13),"◆",""))</f>
        <v>◆</v>
      </c>
      <c r="V13" s="78" t="str">
        <f>IF(AND($D13&gt;0,V$6&gt;=$D13,V$6&lt;=$E13),1,IF(AND($F13&gt;0,V$6=$F13),"◆",""))</f>
        <v/>
      </c>
      <c r="W13" s="78" t="str">
        <f>IF(AND($D13&gt;0,W$6&gt;=$D13,W$6&lt;=$E13),1,IF(AND($F13&gt;0,W$6=$F13),"◆",""))</f>
        <v/>
      </c>
      <c r="X13" s="78" t="str">
        <f>IF(AND($D13&gt;0,X$6&gt;=$D13,X$6&lt;=$E13),1,IF(AND($F13&gt;0,X$6=$F13),"◆",""))</f>
        <v/>
      </c>
      <c r="Y13" s="78" t="str">
        <f>IF(AND($D13&gt;0,Y$6&gt;=$D13,Y$6&lt;=$E13),1,IF(AND($F13&gt;0,Y$6=$F13),"◆",""))</f>
        <v/>
      </c>
      <c r="Z13" s="78" t="str">
        <f>IF(AND($D13&gt;0,Z$6&gt;=$D13,Z$6&lt;=$E13),1,IF(AND($F13&gt;0,Z$6=$F13),"◆",""))</f>
        <v/>
      </c>
      <c r="AA13" s="78" t="str">
        <f>IF(AND($D13&gt;0,AA$6&gt;=$D13,AA$6&lt;=$E13),1,IF(AND($F13&gt;0,AA$6=$F13),"◆",""))</f>
        <v/>
      </c>
      <c r="AB13" s="78" t="str">
        <f>IF(AND($D13&gt;0,AB$6&gt;=$D13,AB$6&lt;=$E13),1,IF(AND($F13&gt;0,AB$6=$F13),"◆",""))</f>
        <v/>
      </c>
      <c r="AC13" s="78" t="str">
        <f>IF(AND($D13&gt;0,AC$6&gt;=$D13,AC$6&lt;=$E13),1,IF(AND($F13&gt;0,AC$6=$F13),"◆",""))</f>
        <v/>
      </c>
      <c r="AD13" s="78" t="str">
        <f>IF(AND($D13&gt;0,AD$6&gt;=$D13,AD$6&lt;=$E13),1,IF(AND($F13&gt;0,AD$6=$F13),"◆",""))</f>
        <v/>
      </c>
      <c r="AE13" s="78" t="str">
        <f>IF(AND($D13&gt;0,AE$6&gt;=$D13,AE$6&lt;=$E13),1,IF(AND($F13&gt;0,AE$6=$F13),"◆",""))</f>
        <v/>
      </c>
      <c r="AF13" s="78" t="str">
        <f>IF(AND($D13&gt;0,AF$6&gt;=$D13,AF$6&lt;=$E13),1,IF(AND($F13&gt;0,AF$6=$F13),"◆",""))</f>
        <v/>
      </c>
      <c r="AG13" s="78" t="str">
        <f>IF(AND($D13&gt;0,AG$6&gt;=$D13,AG$6&lt;=$E13),1,IF(AND($F13&gt;0,AG$6=$F13),"◆",""))</f>
        <v/>
      </c>
      <c r="AH13" s="78" t="str">
        <f>IF(AND($D13&gt;0,AH$6&gt;=$D13,AH$6&lt;=$E13),1,IF(AND($F13&gt;0,AH$6=$F13),"◆",""))</f>
        <v/>
      </c>
      <c r="AI13" s="78" t="str">
        <f>IF(AND($D13&gt;0,AI$6&gt;=$D13,AI$6&lt;=$E13),1,IF(AND($F13&gt;0,AI$6=$F13),"◆",""))</f>
        <v/>
      </c>
      <c r="AJ13" s="78" t="str">
        <f>IF(AND($D13&gt;0,AJ$6&gt;=$D13,AJ$6&lt;=$E13),1,IF(AND($F13&gt;0,AJ$6=$F13),"◆",""))</f>
        <v/>
      </c>
      <c r="AK13" s="78" t="str">
        <f>IF(AND($D13&gt;0,AK$6&gt;=$D13,AK$6&lt;=$E13),1,IF(AND($F13&gt;0,AK$6=$F13),"◆",""))</f>
        <v/>
      </c>
      <c r="AL13" s="78" t="str">
        <f>IF(AND($D13&gt;0,AL$6&gt;=$D13,AL$6&lt;=$E13),1,IF(AND($F13&gt;0,AL$6=$F13),"◆",""))</f>
        <v/>
      </c>
      <c r="AM13" s="78" t="str">
        <f>IF(AND($D13&gt;0,AM$6&gt;=$D13,AM$6&lt;=$E13),1,IF(AND($F13&gt;0,AM$6=$F13),"◆",""))</f>
        <v/>
      </c>
      <c r="AN13" s="78" t="str">
        <f>IF(AND($D13&gt;0,AN$6&gt;=$D13,AN$6&lt;=$E13),1,IF(AND($F13&gt;0,AN$6=$F13),"◆",""))</f>
        <v/>
      </c>
      <c r="AO13" s="78" t="str">
        <f>IF(AND($D13&gt;0,AO$6&gt;=$D13,AO$6&lt;=$E13),1,IF(AND($F13&gt;0,AO$6=$F13),"◆",""))</f>
        <v/>
      </c>
      <c r="AP13" s="78" t="str">
        <f>IF(AND($D13&gt;0,AP$6&gt;=$D13,AP$6&lt;=$E13),1,IF(AND($F13&gt;0,AP$6=$F13),"◆",""))</f>
        <v/>
      </c>
      <c r="AQ13" s="78" t="str">
        <f>IF(AND($D13&gt;0,AQ$6&gt;=$D13,AQ$6&lt;=$E13),1,IF(AND($F13&gt;0,AQ$6=$F13),"◆",""))</f>
        <v/>
      </c>
      <c r="AR13" s="78" t="str">
        <f>IF(AND($D13&gt;0,AR$6&gt;=$D13,AR$6&lt;=$E13),1,IF(AND($F13&gt;0,AR$6=$F13),"◆",""))</f>
        <v/>
      </c>
      <c r="AS13" s="78" t="str">
        <f>IF(AND($D13&gt;0,AS$6&gt;=$D13,AS$6&lt;=$E13),1,IF(AND($F13&gt;0,AS$6=$F13),"◆",""))</f>
        <v/>
      </c>
      <c r="AT13" s="78" t="str">
        <f>IF(AND($D13&gt;0,AT$6&gt;=$D13,AT$6&lt;=$E13),1,IF(AND($F13&gt;0,AT$6=$F13),"◆",""))</f>
        <v/>
      </c>
      <c r="AU13" s="78" t="str">
        <f>IF(AND($D13&gt;0,AU$6&gt;=$D13,AU$6&lt;=$E13),1,IF(AND($F13&gt;0,AU$6=$F13),"◆",""))</f>
        <v/>
      </c>
      <c r="AV13" s="78" t="str">
        <f>IF(AND($D13&gt;0,AV$6&gt;=$D13,AV$6&lt;=$E13),1,IF(AND($F13&gt;0,AV$6=$F13),"◆",""))</f>
        <v/>
      </c>
      <c r="AW13" s="78" t="str">
        <f>IF(AND($D13&gt;0,AW$6&gt;=$D13,AW$6&lt;=$E13),1,IF(AND($F13&gt;0,AW$6=$F13),"◆",""))</f>
        <v/>
      </c>
      <c r="AX13" s="78" t="str">
        <f>IF(AND($D13&gt;0,AX$6&gt;=$D13,AX$6&lt;=$E13),1,IF(AND($F13&gt;0,AX$6=$F13),"◆",""))</f>
        <v/>
      </c>
      <c r="AY13" s="78" t="str">
        <f>IF(AND($D13&gt;0,AY$6&gt;=$D13,AY$6&lt;=$E13),1,IF(AND($F13&gt;0,AY$6=$F13),"◆",""))</f>
        <v/>
      </c>
      <c r="AZ13" s="78" t="str">
        <f>IF(AND($D13&gt;0,AZ$6&gt;=$D13,AZ$6&lt;=$E13),1,IF(AND($F13&gt;0,AZ$6=$F13),"◆",""))</f>
        <v/>
      </c>
      <c r="BA13" s="78" t="str">
        <f>IF(AND($D13&gt;0,BA$6&gt;=$D13,BA$6&lt;=$E13),1,IF(AND($F13&gt;0,BA$6=$F13),"◆",""))</f>
        <v/>
      </c>
      <c r="BB13" s="78" t="str">
        <f>IF(AND($D13&gt;0,BB$6&gt;=$D13,BB$6&lt;=$E13),1,IF(AND($F13&gt;0,BB$6=$F13),"◆",""))</f>
        <v/>
      </c>
      <c r="BC13" s="78" t="str">
        <f>IF(AND($D13&gt;0,BC$6&gt;=$D13,BC$6&lt;=$E13),1,IF(AND($F13&gt;0,BC$6=$F13),"◆",""))</f>
        <v/>
      </c>
      <c r="BD13" s="78" t="str">
        <f>IF(AND($D13&gt;0,BD$6&gt;=$D13,BD$6&lt;=$E13),1,IF(AND($F13&gt;0,BD$6=$F13),"◆",""))</f>
        <v/>
      </c>
      <c r="BE13" s="78" t="str">
        <f>IF(AND($D13&gt;0,BE$6&gt;=$D13,BE$6&lt;=$E13),1,IF(AND($F13&gt;0,BE$6=$F13),"◆",""))</f>
        <v/>
      </c>
      <c r="BF13" s="78" t="str">
        <f>IF(AND($D13&gt;0,BF$6&gt;=$D13,BF$6&lt;=$E13),1,IF(AND($F13&gt;0,BF$6=$F13),"◆",""))</f>
        <v/>
      </c>
      <c r="BG13" s="78" t="str">
        <f>IF(AND($D13&gt;0,BG$6&gt;=$D13,BG$6&lt;=$E13),1,IF(AND($F13&gt;0,BG$6=$F13),"◆",""))</f>
        <v/>
      </c>
      <c r="BH13" s="78" t="str">
        <f>IF(AND($D13&gt;0,BH$6&gt;=$D13,BH$6&lt;=$E13),1,IF(AND($F13&gt;0,BH$6=$F13),"◆",""))</f>
        <v/>
      </c>
      <c r="BI13" s="78" t="str">
        <f>IF(AND($D13&gt;0,BI$6&gt;=$D13,BI$6&lt;=$E13),1,IF(AND($F13&gt;0,BI$6=$F13),"◆",""))</f>
        <v/>
      </c>
      <c r="BJ13" s="78" t="str">
        <f>IF(AND($D13&gt;0,BJ$6&gt;=$D13,BJ$6&lt;=$E13),1,IF(AND($F13&gt;0,BJ$6=$F13),"◆",""))</f>
        <v/>
      </c>
      <c r="BK13" s="78" t="str">
        <f>IF(AND($D13&gt;0,BK$6&gt;=$D13,BK$6&lt;=$E13),1,IF(AND($F13&gt;0,BK$6=$F13),"◆",""))</f>
        <v/>
      </c>
      <c r="BL13" s="78" t="str">
        <f>IF(AND($D13&gt;0,BL$6&gt;=$D13,BL$6&lt;=$E13),1,IF(AND($F13&gt;0,BL$6=$F13),"◆",""))</f>
        <v/>
      </c>
      <c r="BM13" s="78" t="str">
        <f>IF(AND($D13&gt;0,BM$6&gt;=$D13,BM$6&lt;=$E13),1,IF(AND($F13&gt;0,BM$6=$F13),"◆",""))</f>
        <v/>
      </c>
      <c r="BN13" s="78" t="str">
        <f>IF(AND($D13&gt;0,BN$6&gt;=$D13,BN$6&lt;=$E13),1,IF(AND($F13&gt;0,BN$6=$F13),"◆",""))</f>
        <v/>
      </c>
      <c r="BO13" s="78" t="str">
        <f>IF(AND($D13&gt;0,BO$6&gt;=$D13,BO$6&lt;=$E13),1,IF(AND($F13&gt;0,BO$6=$F13),"◆",""))</f>
        <v/>
      </c>
      <c r="BP13" s="78" t="str">
        <f>IF(AND($D13&gt;0,BP$6&gt;=$D13,BP$6&lt;=$E13),1,IF(AND($F13&gt;0,BP$6=$F13),"◆",""))</f>
        <v/>
      </c>
    </row>
    <row r="14">
      <c r="A14" s="75" t="str">
        <f>IF(INDEX(of_ref,8)="","",INDEX(of_num,8)&amp;"")</f>
        <v>OF-2611-008</v>
      </c>
      <c r="B14" s="75" t="str">
        <f>IF(INDEX(of_ref,8)="","",INDEX(of_des,8)&amp;"")</f>
        <v>Châssis remorque soudé</v>
      </c>
      <c r="C14" s="76" t="str">
        <f>IF(INDEX(of_ref,8)="","",INDEX(of_poste,8)&amp;"")</f>
        <v>SOUD</v>
      </c>
      <c r="D14" s="77">
        <f>INDEX(of_start,8)</f>
        <v>46331.0</v>
      </c>
      <c r="E14" s="77">
        <f>INDEX(of_end,8)</f>
        <v>46336.0</v>
      </c>
      <c r="F14" s="77">
        <f>IF(N(INDEX(of_need,8))=0,0,INDEX(of_need,8))</f>
        <v>46345.0</v>
      </c>
      <c r="G14" s="76" t="str">
        <f>IF(INDEX(of_ref,8)="","",INDEX(of_etat,8)&amp;"")</f>
        <v>À l'heure</v>
      </c>
      <c r="I14" s="78" t="str">
        <f>IF(AND($D14&gt;0,I$6&gt;=$D14,I$6&lt;=$E14),1,IF(AND($F14&gt;0,I$6=$F14),"◆",""))</f>
        <v/>
      </c>
      <c r="J14" s="78" t="str">
        <f>IF(AND($D14&gt;0,J$6&gt;=$D14,J$6&lt;=$E14),1,IF(AND($F14&gt;0,J$6=$F14),"◆",""))</f>
        <v/>
      </c>
      <c r="K14" s="78" t="str">
        <f>IF(AND($D14&gt;0,K$6&gt;=$D14,K$6&lt;=$E14),1,IF(AND($F14&gt;0,K$6=$F14),"◆",""))</f>
        <v/>
      </c>
      <c r="L14" s="78">
        <f>IF(AND($D14&gt;0,L$6&gt;=$D14,L$6&lt;=$E14),1,IF(AND($F14&gt;0,L$6=$F14),"◆",""))</f>
        <v>1.0</v>
      </c>
      <c r="M14" s="78">
        <f>IF(AND($D14&gt;0,M$6&gt;=$D14,M$6&lt;=$E14),1,IF(AND($F14&gt;0,M$6=$F14),"◆",""))</f>
        <v>1.0</v>
      </c>
      <c r="N14" s="78">
        <f>IF(AND($D14&gt;0,N$6&gt;=$D14,N$6&lt;=$E14),1,IF(AND($F14&gt;0,N$6=$F14),"◆",""))</f>
        <v>1.0</v>
      </c>
      <c r="O14" s="78" t="str">
        <f>IF(AND($D14&gt;0,O$6&gt;=$D14,O$6&lt;=$E14),1,IF(AND($F14&gt;0,O$6=$F14),"◆",""))</f>
        <v/>
      </c>
      <c r="P14" s="78" t="str">
        <f>IF(AND($D14&gt;0,P$6&gt;=$D14,P$6&lt;=$E14),1,IF(AND($F14&gt;0,P$6=$F14),"◆",""))</f>
        <v/>
      </c>
      <c r="Q14" s="78" t="str">
        <f>IF(AND($D14&gt;0,Q$6&gt;=$D14,Q$6&lt;=$E14),1,IF(AND($F14&gt;0,Q$6=$F14),"◆",""))</f>
        <v/>
      </c>
      <c r="R14" s="78" t="str">
        <f>IF(AND($D14&gt;0,R$6&gt;=$D14,R$6&lt;=$E14),1,IF(AND($F14&gt;0,R$6=$F14),"◆",""))</f>
        <v/>
      </c>
      <c r="S14" s="78" t="str">
        <f>IF(AND($D14&gt;0,S$6&gt;=$D14,S$6&lt;=$E14),1,IF(AND($F14&gt;0,S$6=$F14),"◆",""))</f>
        <v/>
      </c>
      <c r="T14" s="78" t="str">
        <f>IF(AND($D14&gt;0,T$6&gt;=$D14,T$6&lt;=$E14),1,IF(AND($F14&gt;0,T$6=$F14),"◆",""))</f>
        <v>◆</v>
      </c>
      <c r="U14" s="78" t="str">
        <f>IF(AND($D14&gt;0,U$6&gt;=$D14,U$6&lt;=$E14),1,IF(AND($F14&gt;0,U$6=$F14),"◆",""))</f>
        <v/>
      </c>
      <c r="V14" s="78" t="str">
        <f>IF(AND($D14&gt;0,V$6&gt;=$D14,V$6&lt;=$E14),1,IF(AND($F14&gt;0,V$6=$F14),"◆",""))</f>
        <v/>
      </c>
      <c r="W14" s="78" t="str">
        <f>IF(AND($D14&gt;0,W$6&gt;=$D14,W$6&lt;=$E14),1,IF(AND($F14&gt;0,W$6=$F14),"◆",""))</f>
        <v/>
      </c>
      <c r="X14" s="78" t="str">
        <f>IF(AND($D14&gt;0,X$6&gt;=$D14,X$6&lt;=$E14),1,IF(AND($F14&gt;0,X$6=$F14),"◆",""))</f>
        <v/>
      </c>
      <c r="Y14" s="78" t="str">
        <f>IF(AND($D14&gt;0,Y$6&gt;=$D14,Y$6&lt;=$E14),1,IF(AND($F14&gt;0,Y$6=$F14),"◆",""))</f>
        <v/>
      </c>
      <c r="Z14" s="78" t="str">
        <f>IF(AND($D14&gt;0,Z$6&gt;=$D14,Z$6&lt;=$E14),1,IF(AND($F14&gt;0,Z$6=$F14),"◆",""))</f>
        <v/>
      </c>
      <c r="AA14" s="78" t="str">
        <f>IF(AND($D14&gt;0,AA$6&gt;=$D14,AA$6&lt;=$E14),1,IF(AND($F14&gt;0,AA$6=$F14),"◆",""))</f>
        <v/>
      </c>
      <c r="AB14" s="78" t="str">
        <f>IF(AND($D14&gt;0,AB$6&gt;=$D14,AB$6&lt;=$E14),1,IF(AND($F14&gt;0,AB$6=$F14),"◆",""))</f>
        <v/>
      </c>
      <c r="AC14" s="78" t="str">
        <f>IF(AND($D14&gt;0,AC$6&gt;=$D14,AC$6&lt;=$E14),1,IF(AND($F14&gt;0,AC$6=$F14),"◆",""))</f>
        <v/>
      </c>
      <c r="AD14" s="78" t="str">
        <f>IF(AND($D14&gt;0,AD$6&gt;=$D14,AD$6&lt;=$E14),1,IF(AND($F14&gt;0,AD$6=$F14),"◆",""))</f>
        <v/>
      </c>
      <c r="AE14" s="78" t="str">
        <f>IF(AND($D14&gt;0,AE$6&gt;=$D14,AE$6&lt;=$E14),1,IF(AND($F14&gt;0,AE$6=$F14),"◆",""))</f>
        <v/>
      </c>
      <c r="AF14" s="78" t="str">
        <f>IF(AND($D14&gt;0,AF$6&gt;=$D14,AF$6&lt;=$E14),1,IF(AND($F14&gt;0,AF$6=$F14),"◆",""))</f>
        <v/>
      </c>
      <c r="AG14" s="78" t="str">
        <f>IF(AND($D14&gt;0,AG$6&gt;=$D14,AG$6&lt;=$E14),1,IF(AND($F14&gt;0,AG$6=$F14),"◆",""))</f>
        <v/>
      </c>
      <c r="AH14" s="78" t="str">
        <f>IF(AND($D14&gt;0,AH$6&gt;=$D14,AH$6&lt;=$E14),1,IF(AND($F14&gt;0,AH$6=$F14),"◆",""))</f>
        <v/>
      </c>
      <c r="AI14" s="78" t="str">
        <f>IF(AND($D14&gt;0,AI$6&gt;=$D14,AI$6&lt;=$E14),1,IF(AND($F14&gt;0,AI$6=$F14),"◆",""))</f>
        <v/>
      </c>
      <c r="AJ14" s="78" t="str">
        <f>IF(AND($D14&gt;0,AJ$6&gt;=$D14,AJ$6&lt;=$E14),1,IF(AND($F14&gt;0,AJ$6=$F14),"◆",""))</f>
        <v/>
      </c>
      <c r="AK14" s="78" t="str">
        <f>IF(AND($D14&gt;0,AK$6&gt;=$D14,AK$6&lt;=$E14),1,IF(AND($F14&gt;0,AK$6=$F14),"◆",""))</f>
        <v/>
      </c>
      <c r="AL14" s="78" t="str">
        <f>IF(AND($D14&gt;0,AL$6&gt;=$D14,AL$6&lt;=$E14),1,IF(AND($F14&gt;0,AL$6=$F14),"◆",""))</f>
        <v/>
      </c>
      <c r="AM14" s="78" t="str">
        <f>IF(AND($D14&gt;0,AM$6&gt;=$D14,AM$6&lt;=$E14),1,IF(AND($F14&gt;0,AM$6=$F14),"◆",""))</f>
        <v/>
      </c>
      <c r="AN14" s="78" t="str">
        <f>IF(AND($D14&gt;0,AN$6&gt;=$D14,AN$6&lt;=$E14),1,IF(AND($F14&gt;0,AN$6=$F14),"◆",""))</f>
        <v/>
      </c>
      <c r="AO14" s="78" t="str">
        <f>IF(AND($D14&gt;0,AO$6&gt;=$D14,AO$6&lt;=$E14),1,IF(AND($F14&gt;0,AO$6=$F14),"◆",""))</f>
        <v/>
      </c>
      <c r="AP14" s="78" t="str">
        <f>IF(AND($D14&gt;0,AP$6&gt;=$D14,AP$6&lt;=$E14),1,IF(AND($F14&gt;0,AP$6=$F14),"◆",""))</f>
        <v/>
      </c>
      <c r="AQ14" s="78" t="str">
        <f>IF(AND($D14&gt;0,AQ$6&gt;=$D14,AQ$6&lt;=$E14),1,IF(AND($F14&gt;0,AQ$6=$F14),"◆",""))</f>
        <v/>
      </c>
      <c r="AR14" s="78" t="str">
        <f>IF(AND($D14&gt;0,AR$6&gt;=$D14,AR$6&lt;=$E14),1,IF(AND($F14&gt;0,AR$6=$F14),"◆",""))</f>
        <v/>
      </c>
      <c r="AS14" s="78" t="str">
        <f>IF(AND($D14&gt;0,AS$6&gt;=$D14,AS$6&lt;=$E14),1,IF(AND($F14&gt;0,AS$6=$F14),"◆",""))</f>
        <v/>
      </c>
      <c r="AT14" s="78" t="str">
        <f>IF(AND($D14&gt;0,AT$6&gt;=$D14,AT$6&lt;=$E14),1,IF(AND($F14&gt;0,AT$6=$F14),"◆",""))</f>
        <v/>
      </c>
      <c r="AU14" s="78" t="str">
        <f>IF(AND($D14&gt;0,AU$6&gt;=$D14,AU$6&lt;=$E14),1,IF(AND($F14&gt;0,AU$6=$F14),"◆",""))</f>
        <v/>
      </c>
      <c r="AV14" s="78" t="str">
        <f>IF(AND($D14&gt;0,AV$6&gt;=$D14,AV$6&lt;=$E14),1,IF(AND($F14&gt;0,AV$6=$F14),"◆",""))</f>
        <v/>
      </c>
      <c r="AW14" s="78" t="str">
        <f>IF(AND($D14&gt;0,AW$6&gt;=$D14,AW$6&lt;=$E14),1,IF(AND($F14&gt;0,AW$6=$F14),"◆",""))</f>
        <v/>
      </c>
      <c r="AX14" s="78" t="str">
        <f>IF(AND($D14&gt;0,AX$6&gt;=$D14,AX$6&lt;=$E14),1,IF(AND($F14&gt;0,AX$6=$F14),"◆",""))</f>
        <v/>
      </c>
      <c r="AY14" s="78" t="str">
        <f>IF(AND($D14&gt;0,AY$6&gt;=$D14,AY$6&lt;=$E14),1,IF(AND($F14&gt;0,AY$6=$F14),"◆",""))</f>
        <v/>
      </c>
      <c r="AZ14" s="78" t="str">
        <f>IF(AND($D14&gt;0,AZ$6&gt;=$D14,AZ$6&lt;=$E14),1,IF(AND($F14&gt;0,AZ$6=$F14),"◆",""))</f>
        <v/>
      </c>
      <c r="BA14" s="78" t="str">
        <f>IF(AND($D14&gt;0,BA$6&gt;=$D14,BA$6&lt;=$E14),1,IF(AND($F14&gt;0,BA$6=$F14),"◆",""))</f>
        <v/>
      </c>
      <c r="BB14" s="78" t="str">
        <f>IF(AND($D14&gt;0,BB$6&gt;=$D14,BB$6&lt;=$E14),1,IF(AND($F14&gt;0,BB$6=$F14),"◆",""))</f>
        <v/>
      </c>
      <c r="BC14" s="78" t="str">
        <f>IF(AND($D14&gt;0,BC$6&gt;=$D14,BC$6&lt;=$E14),1,IF(AND($F14&gt;0,BC$6=$F14),"◆",""))</f>
        <v/>
      </c>
      <c r="BD14" s="78" t="str">
        <f>IF(AND($D14&gt;0,BD$6&gt;=$D14,BD$6&lt;=$E14),1,IF(AND($F14&gt;0,BD$6=$F14),"◆",""))</f>
        <v/>
      </c>
      <c r="BE14" s="78" t="str">
        <f>IF(AND($D14&gt;0,BE$6&gt;=$D14,BE$6&lt;=$E14),1,IF(AND($F14&gt;0,BE$6=$F14),"◆",""))</f>
        <v/>
      </c>
      <c r="BF14" s="78" t="str">
        <f>IF(AND($D14&gt;0,BF$6&gt;=$D14,BF$6&lt;=$E14),1,IF(AND($F14&gt;0,BF$6=$F14),"◆",""))</f>
        <v/>
      </c>
      <c r="BG14" s="78" t="str">
        <f>IF(AND($D14&gt;0,BG$6&gt;=$D14,BG$6&lt;=$E14),1,IF(AND($F14&gt;0,BG$6=$F14),"◆",""))</f>
        <v/>
      </c>
      <c r="BH14" s="78" t="str">
        <f>IF(AND($D14&gt;0,BH$6&gt;=$D14,BH$6&lt;=$E14),1,IF(AND($F14&gt;0,BH$6=$F14),"◆",""))</f>
        <v/>
      </c>
      <c r="BI14" s="78" t="str">
        <f>IF(AND($D14&gt;0,BI$6&gt;=$D14,BI$6&lt;=$E14),1,IF(AND($F14&gt;0,BI$6=$F14),"◆",""))</f>
        <v/>
      </c>
      <c r="BJ14" s="78" t="str">
        <f>IF(AND($D14&gt;0,BJ$6&gt;=$D14,BJ$6&lt;=$E14),1,IF(AND($F14&gt;0,BJ$6=$F14),"◆",""))</f>
        <v/>
      </c>
      <c r="BK14" s="78" t="str">
        <f>IF(AND($D14&gt;0,BK$6&gt;=$D14,BK$6&lt;=$E14),1,IF(AND($F14&gt;0,BK$6=$F14),"◆",""))</f>
        <v/>
      </c>
      <c r="BL14" s="78" t="str">
        <f>IF(AND($D14&gt;0,BL$6&gt;=$D14,BL$6&lt;=$E14),1,IF(AND($F14&gt;0,BL$6=$F14),"◆",""))</f>
        <v/>
      </c>
      <c r="BM14" s="78" t="str">
        <f>IF(AND($D14&gt;0,BM$6&gt;=$D14,BM$6&lt;=$E14),1,IF(AND($F14&gt;0,BM$6=$F14),"◆",""))</f>
        <v/>
      </c>
      <c r="BN14" s="78" t="str">
        <f>IF(AND($D14&gt;0,BN$6&gt;=$D14,BN$6&lt;=$E14),1,IF(AND($F14&gt;0,BN$6=$F14),"◆",""))</f>
        <v/>
      </c>
      <c r="BO14" s="78" t="str">
        <f>IF(AND($D14&gt;0,BO$6&gt;=$D14,BO$6&lt;=$E14),1,IF(AND($F14&gt;0,BO$6=$F14),"◆",""))</f>
        <v/>
      </c>
      <c r="BP14" s="78" t="str">
        <f>IF(AND($D14&gt;0,BP$6&gt;=$D14,BP$6&lt;=$E14),1,IF(AND($F14&gt;0,BP$6=$F14),"◆",""))</f>
        <v/>
      </c>
    </row>
    <row r="15">
      <c r="A15" s="75" t="str">
        <f>IF(INDEX(of_ref,9)="","",INDEX(of_num,9)&amp;"")</f>
        <v>OF-2611-009</v>
      </c>
      <c r="B15" s="75" t="str">
        <f>IF(INDEX(of_ref,9)="","",INDEX(of_des,9)&amp;"")</f>
        <v>Patte de fixation pliée</v>
      </c>
      <c r="C15" s="76" t="str">
        <f>IF(INDEX(of_ref,9)="","",INDEX(of_poste,9)&amp;"")</f>
        <v>PLIE</v>
      </c>
      <c r="D15" s="77">
        <f>INDEX(of_start,9)</f>
        <v>46330.0</v>
      </c>
      <c r="E15" s="77">
        <f>INDEX(of_end,9)</f>
        <v>46336.0</v>
      </c>
      <c r="F15" s="77">
        <f>IF(N(INDEX(of_need,9))=0,0,INDEX(of_need,9))</f>
        <v>46342.0</v>
      </c>
      <c r="G15" s="76" t="str">
        <f>IF(INDEX(of_ref,9)="","",INDEX(of_etat,9)&amp;"")</f>
        <v>À l'heure</v>
      </c>
      <c r="I15" s="78" t="str">
        <f>IF(AND($D15&gt;0,I$6&gt;=$D15,I$6&lt;=$E15),1,IF(AND($F15&gt;0,I$6=$F15),"◆",""))</f>
        <v/>
      </c>
      <c r="J15" s="78" t="str">
        <f>IF(AND($D15&gt;0,J$6&gt;=$D15,J$6&lt;=$E15),1,IF(AND($F15&gt;0,J$6=$F15),"◆",""))</f>
        <v/>
      </c>
      <c r="K15" s="78">
        <f>IF(AND($D15&gt;0,K$6&gt;=$D15,K$6&lt;=$E15),1,IF(AND($F15&gt;0,K$6=$F15),"◆",""))</f>
        <v>1.0</v>
      </c>
      <c r="L15" s="78">
        <f>IF(AND($D15&gt;0,L$6&gt;=$D15,L$6&lt;=$E15),1,IF(AND($F15&gt;0,L$6=$F15),"◆",""))</f>
        <v>1.0</v>
      </c>
      <c r="M15" s="78">
        <f>IF(AND($D15&gt;0,M$6&gt;=$D15,M$6&lt;=$E15),1,IF(AND($F15&gt;0,M$6=$F15),"◆",""))</f>
        <v>1.0</v>
      </c>
      <c r="N15" s="78">
        <f>IF(AND($D15&gt;0,N$6&gt;=$D15,N$6&lt;=$E15),1,IF(AND($F15&gt;0,N$6=$F15),"◆",""))</f>
        <v>1.0</v>
      </c>
      <c r="O15" s="78" t="str">
        <f>IF(AND($D15&gt;0,O$6&gt;=$D15,O$6&lt;=$E15),1,IF(AND($F15&gt;0,O$6=$F15),"◆",""))</f>
        <v/>
      </c>
      <c r="P15" s="78" t="str">
        <f>IF(AND($D15&gt;0,P$6&gt;=$D15,P$6&lt;=$E15),1,IF(AND($F15&gt;0,P$6=$F15),"◆",""))</f>
        <v/>
      </c>
      <c r="Q15" s="78" t="str">
        <f>IF(AND($D15&gt;0,Q$6&gt;=$D15,Q$6&lt;=$E15),1,IF(AND($F15&gt;0,Q$6=$F15),"◆",""))</f>
        <v/>
      </c>
      <c r="R15" s="78" t="str">
        <f>IF(AND($D15&gt;0,R$6&gt;=$D15,R$6&lt;=$E15),1,IF(AND($F15&gt;0,R$6=$F15),"◆",""))</f>
        <v>◆</v>
      </c>
      <c r="S15" s="78" t="str">
        <f>IF(AND($D15&gt;0,S$6&gt;=$D15,S$6&lt;=$E15),1,IF(AND($F15&gt;0,S$6=$F15),"◆",""))</f>
        <v/>
      </c>
      <c r="T15" s="78" t="str">
        <f>IF(AND($D15&gt;0,T$6&gt;=$D15,T$6&lt;=$E15),1,IF(AND($F15&gt;0,T$6=$F15),"◆",""))</f>
        <v/>
      </c>
      <c r="U15" s="78" t="str">
        <f>IF(AND($D15&gt;0,U$6&gt;=$D15,U$6&lt;=$E15),1,IF(AND($F15&gt;0,U$6=$F15),"◆",""))</f>
        <v/>
      </c>
      <c r="V15" s="78" t="str">
        <f>IF(AND($D15&gt;0,V$6&gt;=$D15,V$6&lt;=$E15),1,IF(AND($F15&gt;0,V$6=$F15),"◆",""))</f>
        <v/>
      </c>
      <c r="W15" s="78" t="str">
        <f>IF(AND($D15&gt;0,W$6&gt;=$D15,W$6&lt;=$E15),1,IF(AND($F15&gt;0,W$6=$F15),"◆",""))</f>
        <v/>
      </c>
      <c r="X15" s="78" t="str">
        <f>IF(AND($D15&gt;0,X$6&gt;=$D15,X$6&lt;=$E15),1,IF(AND($F15&gt;0,X$6=$F15),"◆",""))</f>
        <v/>
      </c>
      <c r="Y15" s="78" t="str">
        <f>IF(AND($D15&gt;0,Y$6&gt;=$D15,Y$6&lt;=$E15),1,IF(AND($F15&gt;0,Y$6=$F15),"◆",""))</f>
        <v/>
      </c>
      <c r="Z15" s="78" t="str">
        <f>IF(AND($D15&gt;0,Z$6&gt;=$D15,Z$6&lt;=$E15),1,IF(AND($F15&gt;0,Z$6=$F15),"◆",""))</f>
        <v/>
      </c>
      <c r="AA15" s="78" t="str">
        <f>IF(AND($D15&gt;0,AA$6&gt;=$D15,AA$6&lt;=$E15),1,IF(AND($F15&gt;0,AA$6=$F15),"◆",""))</f>
        <v/>
      </c>
      <c r="AB15" s="78" t="str">
        <f>IF(AND($D15&gt;0,AB$6&gt;=$D15,AB$6&lt;=$E15),1,IF(AND($F15&gt;0,AB$6=$F15),"◆",""))</f>
        <v/>
      </c>
      <c r="AC15" s="78" t="str">
        <f>IF(AND($D15&gt;0,AC$6&gt;=$D15,AC$6&lt;=$E15),1,IF(AND($F15&gt;0,AC$6=$F15),"◆",""))</f>
        <v/>
      </c>
      <c r="AD15" s="78" t="str">
        <f>IF(AND($D15&gt;0,AD$6&gt;=$D15,AD$6&lt;=$E15),1,IF(AND($F15&gt;0,AD$6=$F15),"◆",""))</f>
        <v/>
      </c>
      <c r="AE15" s="78" t="str">
        <f>IF(AND($D15&gt;0,AE$6&gt;=$D15,AE$6&lt;=$E15),1,IF(AND($F15&gt;0,AE$6=$F15),"◆",""))</f>
        <v/>
      </c>
      <c r="AF15" s="78" t="str">
        <f>IF(AND($D15&gt;0,AF$6&gt;=$D15,AF$6&lt;=$E15),1,IF(AND($F15&gt;0,AF$6=$F15),"◆",""))</f>
        <v/>
      </c>
      <c r="AG15" s="78" t="str">
        <f>IF(AND($D15&gt;0,AG$6&gt;=$D15,AG$6&lt;=$E15),1,IF(AND($F15&gt;0,AG$6=$F15),"◆",""))</f>
        <v/>
      </c>
      <c r="AH15" s="78" t="str">
        <f>IF(AND($D15&gt;0,AH$6&gt;=$D15,AH$6&lt;=$E15),1,IF(AND($F15&gt;0,AH$6=$F15),"◆",""))</f>
        <v/>
      </c>
      <c r="AI15" s="78" t="str">
        <f>IF(AND($D15&gt;0,AI$6&gt;=$D15,AI$6&lt;=$E15),1,IF(AND($F15&gt;0,AI$6=$F15),"◆",""))</f>
        <v/>
      </c>
      <c r="AJ15" s="78" t="str">
        <f>IF(AND($D15&gt;0,AJ$6&gt;=$D15,AJ$6&lt;=$E15),1,IF(AND($F15&gt;0,AJ$6=$F15),"◆",""))</f>
        <v/>
      </c>
      <c r="AK15" s="78" t="str">
        <f>IF(AND($D15&gt;0,AK$6&gt;=$D15,AK$6&lt;=$E15),1,IF(AND($F15&gt;0,AK$6=$F15),"◆",""))</f>
        <v/>
      </c>
      <c r="AL15" s="78" t="str">
        <f>IF(AND($D15&gt;0,AL$6&gt;=$D15,AL$6&lt;=$E15),1,IF(AND($F15&gt;0,AL$6=$F15),"◆",""))</f>
        <v/>
      </c>
      <c r="AM15" s="78" t="str">
        <f>IF(AND($D15&gt;0,AM$6&gt;=$D15,AM$6&lt;=$E15),1,IF(AND($F15&gt;0,AM$6=$F15),"◆",""))</f>
        <v/>
      </c>
      <c r="AN15" s="78" t="str">
        <f>IF(AND($D15&gt;0,AN$6&gt;=$D15,AN$6&lt;=$E15),1,IF(AND($F15&gt;0,AN$6=$F15),"◆",""))</f>
        <v/>
      </c>
      <c r="AO15" s="78" t="str">
        <f>IF(AND($D15&gt;0,AO$6&gt;=$D15,AO$6&lt;=$E15),1,IF(AND($F15&gt;0,AO$6=$F15),"◆",""))</f>
        <v/>
      </c>
      <c r="AP15" s="78" t="str">
        <f>IF(AND($D15&gt;0,AP$6&gt;=$D15,AP$6&lt;=$E15),1,IF(AND($F15&gt;0,AP$6=$F15),"◆",""))</f>
        <v/>
      </c>
      <c r="AQ15" s="78" t="str">
        <f>IF(AND($D15&gt;0,AQ$6&gt;=$D15,AQ$6&lt;=$E15),1,IF(AND($F15&gt;0,AQ$6=$F15),"◆",""))</f>
        <v/>
      </c>
      <c r="AR15" s="78" t="str">
        <f>IF(AND($D15&gt;0,AR$6&gt;=$D15,AR$6&lt;=$E15),1,IF(AND($F15&gt;0,AR$6=$F15),"◆",""))</f>
        <v/>
      </c>
      <c r="AS15" s="78" t="str">
        <f>IF(AND($D15&gt;0,AS$6&gt;=$D15,AS$6&lt;=$E15),1,IF(AND($F15&gt;0,AS$6=$F15),"◆",""))</f>
        <v/>
      </c>
      <c r="AT15" s="78" t="str">
        <f>IF(AND($D15&gt;0,AT$6&gt;=$D15,AT$6&lt;=$E15),1,IF(AND($F15&gt;0,AT$6=$F15),"◆",""))</f>
        <v/>
      </c>
      <c r="AU15" s="78" t="str">
        <f>IF(AND($D15&gt;0,AU$6&gt;=$D15,AU$6&lt;=$E15),1,IF(AND($F15&gt;0,AU$6=$F15),"◆",""))</f>
        <v/>
      </c>
      <c r="AV15" s="78" t="str">
        <f>IF(AND($D15&gt;0,AV$6&gt;=$D15,AV$6&lt;=$E15),1,IF(AND($F15&gt;0,AV$6=$F15),"◆",""))</f>
        <v/>
      </c>
      <c r="AW15" s="78" t="str">
        <f>IF(AND($D15&gt;0,AW$6&gt;=$D15,AW$6&lt;=$E15),1,IF(AND($F15&gt;0,AW$6=$F15),"◆",""))</f>
        <v/>
      </c>
      <c r="AX15" s="78" t="str">
        <f>IF(AND($D15&gt;0,AX$6&gt;=$D15,AX$6&lt;=$E15),1,IF(AND($F15&gt;0,AX$6=$F15),"◆",""))</f>
        <v/>
      </c>
      <c r="AY15" s="78" t="str">
        <f>IF(AND($D15&gt;0,AY$6&gt;=$D15,AY$6&lt;=$E15),1,IF(AND($F15&gt;0,AY$6=$F15),"◆",""))</f>
        <v/>
      </c>
      <c r="AZ15" s="78" t="str">
        <f>IF(AND($D15&gt;0,AZ$6&gt;=$D15,AZ$6&lt;=$E15),1,IF(AND($F15&gt;0,AZ$6=$F15),"◆",""))</f>
        <v/>
      </c>
      <c r="BA15" s="78" t="str">
        <f>IF(AND($D15&gt;0,BA$6&gt;=$D15,BA$6&lt;=$E15),1,IF(AND($F15&gt;0,BA$6=$F15),"◆",""))</f>
        <v/>
      </c>
      <c r="BB15" s="78" t="str">
        <f>IF(AND($D15&gt;0,BB$6&gt;=$D15,BB$6&lt;=$E15),1,IF(AND($F15&gt;0,BB$6=$F15),"◆",""))</f>
        <v/>
      </c>
      <c r="BC15" s="78" t="str">
        <f>IF(AND($D15&gt;0,BC$6&gt;=$D15,BC$6&lt;=$E15),1,IF(AND($F15&gt;0,BC$6=$F15),"◆",""))</f>
        <v/>
      </c>
      <c r="BD15" s="78" t="str">
        <f>IF(AND($D15&gt;0,BD$6&gt;=$D15,BD$6&lt;=$E15),1,IF(AND($F15&gt;0,BD$6=$F15),"◆",""))</f>
        <v/>
      </c>
      <c r="BE15" s="78" t="str">
        <f>IF(AND($D15&gt;0,BE$6&gt;=$D15,BE$6&lt;=$E15),1,IF(AND($F15&gt;0,BE$6=$F15),"◆",""))</f>
        <v/>
      </c>
      <c r="BF15" s="78" t="str">
        <f>IF(AND($D15&gt;0,BF$6&gt;=$D15,BF$6&lt;=$E15),1,IF(AND($F15&gt;0,BF$6=$F15),"◆",""))</f>
        <v/>
      </c>
      <c r="BG15" s="78" t="str">
        <f>IF(AND($D15&gt;0,BG$6&gt;=$D15,BG$6&lt;=$E15),1,IF(AND($F15&gt;0,BG$6=$F15),"◆",""))</f>
        <v/>
      </c>
      <c r="BH15" s="78" t="str">
        <f>IF(AND($D15&gt;0,BH$6&gt;=$D15,BH$6&lt;=$E15),1,IF(AND($F15&gt;0,BH$6=$F15),"◆",""))</f>
        <v/>
      </c>
      <c r="BI15" s="78" t="str">
        <f>IF(AND($D15&gt;0,BI$6&gt;=$D15,BI$6&lt;=$E15),1,IF(AND($F15&gt;0,BI$6=$F15),"◆",""))</f>
        <v/>
      </c>
      <c r="BJ15" s="78" t="str">
        <f>IF(AND($D15&gt;0,BJ$6&gt;=$D15,BJ$6&lt;=$E15),1,IF(AND($F15&gt;0,BJ$6=$F15),"◆",""))</f>
        <v/>
      </c>
      <c r="BK15" s="78" t="str">
        <f>IF(AND($D15&gt;0,BK$6&gt;=$D15,BK$6&lt;=$E15),1,IF(AND($F15&gt;0,BK$6=$F15),"◆",""))</f>
        <v/>
      </c>
      <c r="BL15" s="78" t="str">
        <f>IF(AND($D15&gt;0,BL$6&gt;=$D15,BL$6&lt;=$E15),1,IF(AND($F15&gt;0,BL$6=$F15),"◆",""))</f>
        <v/>
      </c>
      <c r="BM15" s="78" t="str">
        <f>IF(AND($D15&gt;0,BM$6&gt;=$D15,BM$6&lt;=$E15),1,IF(AND($F15&gt;0,BM$6=$F15),"◆",""))</f>
        <v/>
      </c>
      <c r="BN15" s="78" t="str">
        <f>IF(AND($D15&gt;0,BN$6&gt;=$D15,BN$6&lt;=$E15),1,IF(AND($F15&gt;0,BN$6=$F15),"◆",""))</f>
        <v/>
      </c>
      <c r="BO15" s="78" t="str">
        <f>IF(AND($D15&gt;0,BO$6&gt;=$D15,BO$6&lt;=$E15),1,IF(AND($F15&gt;0,BO$6=$F15),"◆",""))</f>
        <v/>
      </c>
      <c r="BP15" s="78" t="str">
        <f>IF(AND($D15&gt;0,BP$6&gt;=$D15,BP$6&lt;=$E15),1,IF(AND($F15&gt;0,BP$6=$F15),"◆",""))</f>
        <v/>
      </c>
    </row>
    <row r="16">
      <c r="A16" s="75" t="str">
        <f>IF(INDEX(of_ref,10)="","",INDEX(of_num,10)&amp;"")</f>
        <v>OF-2611-010</v>
      </c>
      <c r="B16" s="75" t="str">
        <f>IF(INDEX(of_ref,10)="","",INDEX(of_des,10)&amp;"")</f>
        <v>Pignon T15</v>
      </c>
      <c r="C16" s="76" t="str">
        <f>IF(INDEX(of_ref,10)="","",INDEX(of_poste,10)&amp;"")</f>
        <v>FRAIS</v>
      </c>
      <c r="D16" s="77">
        <f>INDEX(of_start,10)</f>
        <v>46335.0</v>
      </c>
      <c r="E16" s="77">
        <f>INDEX(of_end,10)</f>
        <v>46338.0</v>
      </c>
      <c r="F16" s="77">
        <f>IF(N(INDEX(of_need,10))=0,0,INDEX(of_need,10))</f>
        <v>46336.0</v>
      </c>
      <c r="G16" s="76" t="str">
        <f>IF(INDEX(of_ref,10)="","",INDEX(of_etat,10)&amp;"")</f>
        <v>En retard</v>
      </c>
      <c r="I16" s="78" t="str">
        <f>IF(AND($D16&gt;0,I$6&gt;=$D16,I$6&lt;=$E16),1,IF(AND($F16&gt;0,I$6=$F16),"◆",""))</f>
        <v/>
      </c>
      <c r="J16" s="78" t="str">
        <f>IF(AND($D16&gt;0,J$6&gt;=$D16,J$6&lt;=$E16),1,IF(AND($F16&gt;0,J$6=$F16),"◆",""))</f>
        <v/>
      </c>
      <c r="K16" s="78" t="str">
        <f>IF(AND($D16&gt;0,K$6&gt;=$D16,K$6&lt;=$E16),1,IF(AND($F16&gt;0,K$6=$F16),"◆",""))</f>
        <v/>
      </c>
      <c r="L16" s="78" t="str">
        <f>IF(AND($D16&gt;0,L$6&gt;=$D16,L$6&lt;=$E16),1,IF(AND($F16&gt;0,L$6=$F16),"◆",""))</f>
        <v/>
      </c>
      <c r="M16" s="78">
        <f>IF(AND($D16&gt;0,M$6&gt;=$D16,M$6&lt;=$E16),1,IF(AND($F16&gt;0,M$6=$F16),"◆",""))</f>
        <v>1.0</v>
      </c>
      <c r="N16" s="78">
        <f>IF(AND($D16&gt;0,N$6&gt;=$D16,N$6&lt;=$E16),1,IF(AND($F16&gt;0,N$6=$F16),"◆",""))</f>
        <v>1.0</v>
      </c>
      <c r="O16" s="78">
        <f>IF(AND($D16&gt;0,O$6&gt;=$D16,O$6&lt;=$E16),1,IF(AND($F16&gt;0,O$6=$F16),"◆",""))</f>
        <v>1.0</v>
      </c>
      <c r="P16" s="78">
        <f>IF(AND($D16&gt;0,P$6&gt;=$D16,P$6&lt;=$E16),1,IF(AND($F16&gt;0,P$6=$F16),"◆",""))</f>
        <v>1.0</v>
      </c>
      <c r="Q16" s="78" t="str">
        <f>IF(AND($D16&gt;0,Q$6&gt;=$D16,Q$6&lt;=$E16),1,IF(AND($F16&gt;0,Q$6=$F16),"◆",""))</f>
        <v/>
      </c>
      <c r="R16" s="78" t="str">
        <f>IF(AND($D16&gt;0,R$6&gt;=$D16,R$6&lt;=$E16),1,IF(AND($F16&gt;0,R$6=$F16),"◆",""))</f>
        <v/>
      </c>
      <c r="S16" s="78" t="str">
        <f>IF(AND($D16&gt;0,S$6&gt;=$D16,S$6&lt;=$E16),1,IF(AND($F16&gt;0,S$6=$F16),"◆",""))</f>
        <v/>
      </c>
      <c r="T16" s="78" t="str">
        <f>IF(AND($D16&gt;0,T$6&gt;=$D16,T$6&lt;=$E16),1,IF(AND($F16&gt;0,T$6=$F16),"◆",""))</f>
        <v/>
      </c>
      <c r="U16" s="78" t="str">
        <f>IF(AND($D16&gt;0,U$6&gt;=$D16,U$6&lt;=$E16),1,IF(AND($F16&gt;0,U$6=$F16),"◆",""))</f>
        <v/>
      </c>
      <c r="V16" s="78" t="str">
        <f>IF(AND($D16&gt;0,V$6&gt;=$D16,V$6&lt;=$E16),1,IF(AND($F16&gt;0,V$6=$F16),"◆",""))</f>
        <v/>
      </c>
      <c r="W16" s="78" t="str">
        <f>IF(AND($D16&gt;0,W$6&gt;=$D16,W$6&lt;=$E16),1,IF(AND($F16&gt;0,W$6=$F16),"◆",""))</f>
        <v/>
      </c>
      <c r="X16" s="78" t="str">
        <f>IF(AND($D16&gt;0,X$6&gt;=$D16,X$6&lt;=$E16),1,IF(AND($F16&gt;0,X$6=$F16),"◆",""))</f>
        <v/>
      </c>
      <c r="Y16" s="78" t="str">
        <f>IF(AND($D16&gt;0,Y$6&gt;=$D16,Y$6&lt;=$E16),1,IF(AND($F16&gt;0,Y$6=$F16),"◆",""))</f>
        <v/>
      </c>
      <c r="Z16" s="78" t="str">
        <f>IF(AND($D16&gt;0,Z$6&gt;=$D16,Z$6&lt;=$E16),1,IF(AND($F16&gt;0,Z$6=$F16),"◆",""))</f>
        <v/>
      </c>
      <c r="AA16" s="78" t="str">
        <f>IF(AND($D16&gt;0,AA$6&gt;=$D16,AA$6&lt;=$E16),1,IF(AND($F16&gt;0,AA$6=$F16),"◆",""))</f>
        <v/>
      </c>
      <c r="AB16" s="78" t="str">
        <f>IF(AND($D16&gt;0,AB$6&gt;=$D16,AB$6&lt;=$E16),1,IF(AND($F16&gt;0,AB$6=$F16),"◆",""))</f>
        <v/>
      </c>
      <c r="AC16" s="78" t="str">
        <f>IF(AND($D16&gt;0,AC$6&gt;=$D16,AC$6&lt;=$E16),1,IF(AND($F16&gt;0,AC$6=$F16),"◆",""))</f>
        <v/>
      </c>
      <c r="AD16" s="78" t="str">
        <f>IF(AND($D16&gt;0,AD$6&gt;=$D16,AD$6&lt;=$E16),1,IF(AND($F16&gt;0,AD$6=$F16),"◆",""))</f>
        <v/>
      </c>
      <c r="AE16" s="78" t="str">
        <f>IF(AND($D16&gt;0,AE$6&gt;=$D16,AE$6&lt;=$E16),1,IF(AND($F16&gt;0,AE$6=$F16),"◆",""))</f>
        <v/>
      </c>
      <c r="AF16" s="78" t="str">
        <f>IF(AND($D16&gt;0,AF$6&gt;=$D16,AF$6&lt;=$E16),1,IF(AND($F16&gt;0,AF$6=$F16),"◆",""))</f>
        <v/>
      </c>
      <c r="AG16" s="78" t="str">
        <f>IF(AND($D16&gt;0,AG$6&gt;=$D16,AG$6&lt;=$E16),1,IF(AND($F16&gt;0,AG$6=$F16),"◆",""))</f>
        <v/>
      </c>
      <c r="AH16" s="78" t="str">
        <f>IF(AND($D16&gt;0,AH$6&gt;=$D16,AH$6&lt;=$E16),1,IF(AND($F16&gt;0,AH$6=$F16),"◆",""))</f>
        <v/>
      </c>
      <c r="AI16" s="78" t="str">
        <f>IF(AND($D16&gt;0,AI$6&gt;=$D16,AI$6&lt;=$E16),1,IF(AND($F16&gt;0,AI$6=$F16),"◆",""))</f>
        <v/>
      </c>
      <c r="AJ16" s="78" t="str">
        <f>IF(AND($D16&gt;0,AJ$6&gt;=$D16,AJ$6&lt;=$E16),1,IF(AND($F16&gt;0,AJ$6=$F16),"◆",""))</f>
        <v/>
      </c>
      <c r="AK16" s="78" t="str">
        <f>IF(AND($D16&gt;0,AK$6&gt;=$D16,AK$6&lt;=$E16),1,IF(AND($F16&gt;0,AK$6=$F16),"◆",""))</f>
        <v/>
      </c>
      <c r="AL16" s="78" t="str">
        <f>IF(AND($D16&gt;0,AL$6&gt;=$D16,AL$6&lt;=$E16),1,IF(AND($F16&gt;0,AL$6=$F16),"◆",""))</f>
        <v/>
      </c>
      <c r="AM16" s="78" t="str">
        <f>IF(AND($D16&gt;0,AM$6&gt;=$D16,AM$6&lt;=$E16),1,IF(AND($F16&gt;0,AM$6=$F16),"◆",""))</f>
        <v/>
      </c>
      <c r="AN16" s="78" t="str">
        <f>IF(AND($D16&gt;0,AN$6&gt;=$D16,AN$6&lt;=$E16),1,IF(AND($F16&gt;0,AN$6=$F16),"◆",""))</f>
        <v/>
      </c>
      <c r="AO16" s="78" t="str">
        <f>IF(AND($D16&gt;0,AO$6&gt;=$D16,AO$6&lt;=$E16),1,IF(AND($F16&gt;0,AO$6=$F16),"◆",""))</f>
        <v/>
      </c>
      <c r="AP16" s="78" t="str">
        <f>IF(AND($D16&gt;0,AP$6&gt;=$D16,AP$6&lt;=$E16),1,IF(AND($F16&gt;0,AP$6=$F16),"◆",""))</f>
        <v/>
      </c>
      <c r="AQ16" s="78" t="str">
        <f>IF(AND($D16&gt;0,AQ$6&gt;=$D16,AQ$6&lt;=$E16),1,IF(AND($F16&gt;0,AQ$6=$F16),"◆",""))</f>
        <v/>
      </c>
      <c r="AR16" s="78" t="str">
        <f>IF(AND($D16&gt;0,AR$6&gt;=$D16,AR$6&lt;=$E16),1,IF(AND($F16&gt;0,AR$6=$F16),"◆",""))</f>
        <v/>
      </c>
      <c r="AS16" s="78" t="str">
        <f>IF(AND($D16&gt;0,AS$6&gt;=$D16,AS$6&lt;=$E16),1,IF(AND($F16&gt;0,AS$6=$F16),"◆",""))</f>
        <v/>
      </c>
      <c r="AT16" s="78" t="str">
        <f>IF(AND($D16&gt;0,AT$6&gt;=$D16,AT$6&lt;=$E16),1,IF(AND($F16&gt;0,AT$6=$F16),"◆",""))</f>
        <v/>
      </c>
      <c r="AU16" s="78" t="str">
        <f>IF(AND($D16&gt;0,AU$6&gt;=$D16,AU$6&lt;=$E16),1,IF(AND($F16&gt;0,AU$6=$F16),"◆",""))</f>
        <v/>
      </c>
      <c r="AV16" s="78" t="str">
        <f>IF(AND($D16&gt;0,AV$6&gt;=$D16,AV$6&lt;=$E16),1,IF(AND($F16&gt;0,AV$6=$F16),"◆",""))</f>
        <v/>
      </c>
      <c r="AW16" s="78" t="str">
        <f>IF(AND($D16&gt;0,AW$6&gt;=$D16,AW$6&lt;=$E16),1,IF(AND($F16&gt;0,AW$6=$F16),"◆",""))</f>
        <v/>
      </c>
      <c r="AX16" s="78" t="str">
        <f>IF(AND($D16&gt;0,AX$6&gt;=$D16,AX$6&lt;=$E16),1,IF(AND($F16&gt;0,AX$6=$F16),"◆",""))</f>
        <v/>
      </c>
      <c r="AY16" s="78" t="str">
        <f>IF(AND($D16&gt;0,AY$6&gt;=$D16,AY$6&lt;=$E16),1,IF(AND($F16&gt;0,AY$6=$F16),"◆",""))</f>
        <v/>
      </c>
      <c r="AZ16" s="78" t="str">
        <f>IF(AND($D16&gt;0,AZ$6&gt;=$D16,AZ$6&lt;=$E16),1,IF(AND($F16&gt;0,AZ$6=$F16),"◆",""))</f>
        <v/>
      </c>
      <c r="BA16" s="78" t="str">
        <f>IF(AND($D16&gt;0,BA$6&gt;=$D16,BA$6&lt;=$E16),1,IF(AND($F16&gt;0,BA$6=$F16),"◆",""))</f>
        <v/>
      </c>
      <c r="BB16" s="78" t="str">
        <f>IF(AND($D16&gt;0,BB$6&gt;=$D16,BB$6&lt;=$E16),1,IF(AND($F16&gt;0,BB$6=$F16),"◆",""))</f>
        <v/>
      </c>
      <c r="BC16" s="78" t="str">
        <f>IF(AND($D16&gt;0,BC$6&gt;=$D16,BC$6&lt;=$E16),1,IF(AND($F16&gt;0,BC$6=$F16),"◆",""))</f>
        <v/>
      </c>
      <c r="BD16" s="78" t="str">
        <f>IF(AND($D16&gt;0,BD$6&gt;=$D16,BD$6&lt;=$E16),1,IF(AND($F16&gt;0,BD$6=$F16),"◆",""))</f>
        <v/>
      </c>
      <c r="BE16" s="78" t="str">
        <f>IF(AND($D16&gt;0,BE$6&gt;=$D16,BE$6&lt;=$E16),1,IF(AND($F16&gt;0,BE$6=$F16),"◆",""))</f>
        <v/>
      </c>
      <c r="BF16" s="78" t="str">
        <f>IF(AND($D16&gt;0,BF$6&gt;=$D16,BF$6&lt;=$E16),1,IF(AND($F16&gt;0,BF$6=$F16),"◆",""))</f>
        <v/>
      </c>
      <c r="BG16" s="78" t="str">
        <f>IF(AND($D16&gt;0,BG$6&gt;=$D16,BG$6&lt;=$E16),1,IF(AND($F16&gt;0,BG$6=$F16),"◆",""))</f>
        <v/>
      </c>
      <c r="BH16" s="78" t="str">
        <f>IF(AND($D16&gt;0,BH$6&gt;=$D16,BH$6&lt;=$E16),1,IF(AND($F16&gt;0,BH$6=$F16),"◆",""))</f>
        <v/>
      </c>
      <c r="BI16" s="78" t="str">
        <f>IF(AND($D16&gt;0,BI$6&gt;=$D16,BI$6&lt;=$E16),1,IF(AND($F16&gt;0,BI$6=$F16),"◆",""))</f>
        <v/>
      </c>
      <c r="BJ16" s="78" t="str">
        <f>IF(AND($D16&gt;0,BJ$6&gt;=$D16,BJ$6&lt;=$E16),1,IF(AND($F16&gt;0,BJ$6=$F16),"◆",""))</f>
        <v/>
      </c>
      <c r="BK16" s="78" t="str">
        <f>IF(AND($D16&gt;0,BK$6&gt;=$D16,BK$6&lt;=$E16),1,IF(AND($F16&gt;0,BK$6=$F16),"◆",""))</f>
        <v/>
      </c>
      <c r="BL16" s="78" t="str">
        <f>IF(AND($D16&gt;0,BL$6&gt;=$D16,BL$6&lt;=$E16),1,IF(AND($F16&gt;0,BL$6=$F16),"◆",""))</f>
        <v/>
      </c>
      <c r="BM16" s="78" t="str">
        <f>IF(AND($D16&gt;0,BM$6&gt;=$D16,BM$6&lt;=$E16),1,IF(AND($F16&gt;0,BM$6=$F16),"◆",""))</f>
        <v/>
      </c>
      <c r="BN16" s="78" t="str">
        <f>IF(AND($D16&gt;0,BN$6&gt;=$D16,BN$6&lt;=$E16),1,IF(AND($F16&gt;0,BN$6=$F16),"◆",""))</f>
        <v/>
      </c>
      <c r="BO16" s="78" t="str">
        <f>IF(AND($D16&gt;0,BO$6&gt;=$D16,BO$6&lt;=$E16),1,IF(AND($F16&gt;0,BO$6=$F16),"◆",""))</f>
        <v/>
      </c>
      <c r="BP16" s="78" t="str">
        <f>IF(AND($D16&gt;0,BP$6&gt;=$D16,BP$6&lt;=$E16),1,IF(AND($F16&gt;0,BP$6=$F16),"◆",""))</f>
        <v/>
      </c>
    </row>
    <row r="17">
      <c r="A17" s="75" t="str">
        <f>IF(INDEX(of_ref,11)="","",INDEX(of_num,11)&amp;"")</f>
        <v>OF-2611-011</v>
      </c>
      <c r="B17" s="75" t="str">
        <f>IF(INDEX(of_ref,11)="","",INDEX(of_des,11)&amp;"")</f>
        <v>Axe de roue Ø20</v>
      </c>
      <c r="C17" s="76" t="str">
        <f>IF(INDEX(of_ref,11)="","",INDEX(of_poste,11)&amp;"")</f>
        <v>TOUR</v>
      </c>
      <c r="D17" s="77">
        <f>INDEX(of_start,11)</f>
        <v>46331.0</v>
      </c>
      <c r="E17" s="77">
        <f>INDEX(of_end,11)</f>
        <v>46337.0</v>
      </c>
      <c r="F17" s="77">
        <f>IF(N(INDEX(of_need,11))=0,0,INDEX(of_need,11))</f>
        <v>46346.0</v>
      </c>
      <c r="G17" s="76" t="str">
        <f>IF(INDEX(of_ref,11)="","",INDEX(of_etat,11)&amp;"")</f>
        <v>À l'heure</v>
      </c>
      <c r="I17" s="78" t="str">
        <f>IF(AND($D17&gt;0,I$6&gt;=$D17,I$6&lt;=$E17),1,IF(AND($F17&gt;0,I$6=$F17),"◆",""))</f>
        <v/>
      </c>
      <c r="J17" s="78" t="str">
        <f>IF(AND($D17&gt;0,J$6&gt;=$D17,J$6&lt;=$E17),1,IF(AND($F17&gt;0,J$6=$F17),"◆",""))</f>
        <v/>
      </c>
      <c r="K17" s="78" t="str">
        <f>IF(AND($D17&gt;0,K$6&gt;=$D17,K$6&lt;=$E17),1,IF(AND($F17&gt;0,K$6=$F17),"◆",""))</f>
        <v/>
      </c>
      <c r="L17" s="78">
        <f>IF(AND($D17&gt;0,L$6&gt;=$D17,L$6&lt;=$E17),1,IF(AND($F17&gt;0,L$6=$F17),"◆",""))</f>
        <v>1.0</v>
      </c>
      <c r="M17" s="78">
        <f>IF(AND($D17&gt;0,M$6&gt;=$D17,M$6&lt;=$E17),1,IF(AND($F17&gt;0,M$6=$F17),"◆",""))</f>
        <v>1.0</v>
      </c>
      <c r="N17" s="78">
        <f>IF(AND($D17&gt;0,N$6&gt;=$D17,N$6&lt;=$E17),1,IF(AND($F17&gt;0,N$6=$F17),"◆",""))</f>
        <v>1.0</v>
      </c>
      <c r="O17" s="78">
        <f>IF(AND($D17&gt;0,O$6&gt;=$D17,O$6&lt;=$E17),1,IF(AND($F17&gt;0,O$6=$F17),"◆",""))</f>
        <v>1.0</v>
      </c>
      <c r="P17" s="78" t="str">
        <f>IF(AND($D17&gt;0,P$6&gt;=$D17,P$6&lt;=$E17),1,IF(AND($F17&gt;0,P$6=$F17),"◆",""))</f>
        <v/>
      </c>
      <c r="Q17" s="78" t="str">
        <f>IF(AND($D17&gt;0,Q$6&gt;=$D17,Q$6&lt;=$E17),1,IF(AND($F17&gt;0,Q$6=$F17),"◆",""))</f>
        <v/>
      </c>
      <c r="R17" s="78" t="str">
        <f>IF(AND($D17&gt;0,R$6&gt;=$D17,R$6&lt;=$E17),1,IF(AND($F17&gt;0,R$6=$F17),"◆",""))</f>
        <v/>
      </c>
      <c r="S17" s="78" t="str">
        <f>IF(AND($D17&gt;0,S$6&gt;=$D17,S$6&lt;=$E17),1,IF(AND($F17&gt;0,S$6=$F17),"◆",""))</f>
        <v/>
      </c>
      <c r="T17" s="78" t="str">
        <f>IF(AND($D17&gt;0,T$6&gt;=$D17,T$6&lt;=$E17),1,IF(AND($F17&gt;0,T$6=$F17),"◆",""))</f>
        <v/>
      </c>
      <c r="U17" s="78" t="str">
        <f>IF(AND($D17&gt;0,U$6&gt;=$D17,U$6&lt;=$E17),1,IF(AND($F17&gt;0,U$6=$F17),"◆",""))</f>
        <v>◆</v>
      </c>
      <c r="V17" s="78" t="str">
        <f>IF(AND($D17&gt;0,V$6&gt;=$D17,V$6&lt;=$E17),1,IF(AND($F17&gt;0,V$6=$F17),"◆",""))</f>
        <v/>
      </c>
      <c r="W17" s="78" t="str">
        <f>IF(AND($D17&gt;0,W$6&gt;=$D17,W$6&lt;=$E17),1,IF(AND($F17&gt;0,W$6=$F17),"◆",""))</f>
        <v/>
      </c>
      <c r="X17" s="78" t="str">
        <f>IF(AND($D17&gt;0,X$6&gt;=$D17,X$6&lt;=$E17),1,IF(AND($F17&gt;0,X$6=$F17),"◆",""))</f>
        <v/>
      </c>
      <c r="Y17" s="78" t="str">
        <f>IF(AND($D17&gt;0,Y$6&gt;=$D17,Y$6&lt;=$E17),1,IF(AND($F17&gt;0,Y$6=$F17),"◆",""))</f>
        <v/>
      </c>
      <c r="Z17" s="78" t="str">
        <f>IF(AND($D17&gt;0,Z$6&gt;=$D17,Z$6&lt;=$E17),1,IF(AND($F17&gt;0,Z$6=$F17),"◆",""))</f>
        <v/>
      </c>
      <c r="AA17" s="78" t="str">
        <f>IF(AND($D17&gt;0,AA$6&gt;=$D17,AA$6&lt;=$E17),1,IF(AND($F17&gt;0,AA$6=$F17),"◆",""))</f>
        <v/>
      </c>
      <c r="AB17" s="78" t="str">
        <f>IF(AND($D17&gt;0,AB$6&gt;=$D17,AB$6&lt;=$E17),1,IF(AND($F17&gt;0,AB$6=$F17),"◆",""))</f>
        <v/>
      </c>
      <c r="AC17" s="78" t="str">
        <f>IF(AND($D17&gt;0,AC$6&gt;=$D17,AC$6&lt;=$E17),1,IF(AND($F17&gt;0,AC$6=$F17),"◆",""))</f>
        <v/>
      </c>
      <c r="AD17" s="78" t="str">
        <f>IF(AND($D17&gt;0,AD$6&gt;=$D17,AD$6&lt;=$E17),1,IF(AND($F17&gt;0,AD$6=$F17),"◆",""))</f>
        <v/>
      </c>
      <c r="AE17" s="78" t="str">
        <f>IF(AND($D17&gt;0,AE$6&gt;=$D17,AE$6&lt;=$E17),1,IF(AND($F17&gt;0,AE$6=$F17),"◆",""))</f>
        <v/>
      </c>
      <c r="AF17" s="78" t="str">
        <f>IF(AND($D17&gt;0,AF$6&gt;=$D17,AF$6&lt;=$E17),1,IF(AND($F17&gt;0,AF$6=$F17),"◆",""))</f>
        <v/>
      </c>
      <c r="AG17" s="78" t="str">
        <f>IF(AND($D17&gt;0,AG$6&gt;=$D17,AG$6&lt;=$E17),1,IF(AND($F17&gt;0,AG$6=$F17),"◆",""))</f>
        <v/>
      </c>
      <c r="AH17" s="78" t="str">
        <f>IF(AND($D17&gt;0,AH$6&gt;=$D17,AH$6&lt;=$E17),1,IF(AND($F17&gt;0,AH$6=$F17),"◆",""))</f>
        <v/>
      </c>
      <c r="AI17" s="78" t="str">
        <f>IF(AND($D17&gt;0,AI$6&gt;=$D17,AI$6&lt;=$E17),1,IF(AND($F17&gt;0,AI$6=$F17),"◆",""))</f>
        <v/>
      </c>
      <c r="AJ17" s="78" t="str">
        <f>IF(AND($D17&gt;0,AJ$6&gt;=$D17,AJ$6&lt;=$E17),1,IF(AND($F17&gt;0,AJ$6=$F17),"◆",""))</f>
        <v/>
      </c>
      <c r="AK17" s="78" t="str">
        <f>IF(AND($D17&gt;0,AK$6&gt;=$D17,AK$6&lt;=$E17),1,IF(AND($F17&gt;0,AK$6=$F17),"◆",""))</f>
        <v/>
      </c>
      <c r="AL17" s="78" t="str">
        <f>IF(AND($D17&gt;0,AL$6&gt;=$D17,AL$6&lt;=$E17),1,IF(AND($F17&gt;0,AL$6=$F17),"◆",""))</f>
        <v/>
      </c>
      <c r="AM17" s="78" t="str">
        <f>IF(AND($D17&gt;0,AM$6&gt;=$D17,AM$6&lt;=$E17),1,IF(AND($F17&gt;0,AM$6=$F17),"◆",""))</f>
        <v/>
      </c>
      <c r="AN17" s="78" t="str">
        <f>IF(AND($D17&gt;0,AN$6&gt;=$D17,AN$6&lt;=$E17),1,IF(AND($F17&gt;0,AN$6=$F17),"◆",""))</f>
        <v/>
      </c>
      <c r="AO17" s="78" t="str">
        <f>IF(AND($D17&gt;0,AO$6&gt;=$D17,AO$6&lt;=$E17),1,IF(AND($F17&gt;0,AO$6=$F17),"◆",""))</f>
        <v/>
      </c>
      <c r="AP17" s="78" t="str">
        <f>IF(AND($D17&gt;0,AP$6&gt;=$D17,AP$6&lt;=$E17),1,IF(AND($F17&gt;0,AP$6=$F17),"◆",""))</f>
        <v/>
      </c>
      <c r="AQ17" s="78" t="str">
        <f>IF(AND($D17&gt;0,AQ$6&gt;=$D17,AQ$6&lt;=$E17),1,IF(AND($F17&gt;0,AQ$6=$F17),"◆",""))</f>
        <v/>
      </c>
      <c r="AR17" s="78" t="str">
        <f>IF(AND($D17&gt;0,AR$6&gt;=$D17,AR$6&lt;=$E17),1,IF(AND($F17&gt;0,AR$6=$F17),"◆",""))</f>
        <v/>
      </c>
      <c r="AS17" s="78" t="str">
        <f>IF(AND($D17&gt;0,AS$6&gt;=$D17,AS$6&lt;=$E17),1,IF(AND($F17&gt;0,AS$6=$F17),"◆",""))</f>
        <v/>
      </c>
      <c r="AT17" s="78" t="str">
        <f>IF(AND($D17&gt;0,AT$6&gt;=$D17,AT$6&lt;=$E17),1,IF(AND($F17&gt;0,AT$6=$F17),"◆",""))</f>
        <v/>
      </c>
      <c r="AU17" s="78" t="str">
        <f>IF(AND($D17&gt;0,AU$6&gt;=$D17,AU$6&lt;=$E17),1,IF(AND($F17&gt;0,AU$6=$F17),"◆",""))</f>
        <v/>
      </c>
      <c r="AV17" s="78" t="str">
        <f>IF(AND($D17&gt;0,AV$6&gt;=$D17,AV$6&lt;=$E17),1,IF(AND($F17&gt;0,AV$6=$F17),"◆",""))</f>
        <v/>
      </c>
      <c r="AW17" s="78" t="str">
        <f>IF(AND($D17&gt;0,AW$6&gt;=$D17,AW$6&lt;=$E17),1,IF(AND($F17&gt;0,AW$6=$F17),"◆",""))</f>
        <v/>
      </c>
      <c r="AX17" s="78" t="str">
        <f>IF(AND($D17&gt;0,AX$6&gt;=$D17,AX$6&lt;=$E17),1,IF(AND($F17&gt;0,AX$6=$F17),"◆",""))</f>
        <v/>
      </c>
      <c r="AY17" s="78" t="str">
        <f>IF(AND($D17&gt;0,AY$6&gt;=$D17,AY$6&lt;=$E17),1,IF(AND($F17&gt;0,AY$6=$F17),"◆",""))</f>
        <v/>
      </c>
      <c r="AZ17" s="78" t="str">
        <f>IF(AND($D17&gt;0,AZ$6&gt;=$D17,AZ$6&lt;=$E17),1,IF(AND($F17&gt;0,AZ$6=$F17),"◆",""))</f>
        <v/>
      </c>
      <c r="BA17" s="78" t="str">
        <f>IF(AND($D17&gt;0,BA$6&gt;=$D17,BA$6&lt;=$E17),1,IF(AND($F17&gt;0,BA$6=$F17),"◆",""))</f>
        <v/>
      </c>
      <c r="BB17" s="78" t="str">
        <f>IF(AND($D17&gt;0,BB$6&gt;=$D17,BB$6&lt;=$E17),1,IF(AND($F17&gt;0,BB$6=$F17),"◆",""))</f>
        <v/>
      </c>
      <c r="BC17" s="78" t="str">
        <f>IF(AND($D17&gt;0,BC$6&gt;=$D17,BC$6&lt;=$E17),1,IF(AND($F17&gt;0,BC$6=$F17),"◆",""))</f>
        <v/>
      </c>
      <c r="BD17" s="78" t="str">
        <f>IF(AND($D17&gt;0,BD$6&gt;=$D17,BD$6&lt;=$E17),1,IF(AND($F17&gt;0,BD$6=$F17),"◆",""))</f>
        <v/>
      </c>
      <c r="BE17" s="78" t="str">
        <f>IF(AND($D17&gt;0,BE$6&gt;=$D17,BE$6&lt;=$E17),1,IF(AND($F17&gt;0,BE$6=$F17),"◆",""))</f>
        <v/>
      </c>
      <c r="BF17" s="78" t="str">
        <f>IF(AND($D17&gt;0,BF$6&gt;=$D17,BF$6&lt;=$E17),1,IF(AND($F17&gt;0,BF$6=$F17),"◆",""))</f>
        <v/>
      </c>
      <c r="BG17" s="78" t="str">
        <f>IF(AND($D17&gt;0,BG$6&gt;=$D17,BG$6&lt;=$E17),1,IF(AND($F17&gt;0,BG$6=$F17),"◆",""))</f>
        <v/>
      </c>
      <c r="BH17" s="78" t="str">
        <f>IF(AND($D17&gt;0,BH$6&gt;=$D17,BH$6&lt;=$E17),1,IF(AND($F17&gt;0,BH$6=$F17),"◆",""))</f>
        <v/>
      </c>
      <c r="BI17" s="78" t="str">
        <f>IF(AND($D17&gt;0,BI$6&gt;=$D17,BI$6&lt;=$E17),1,IF(AND($F17&gt;0,BI$6=$F17),"◆",""))</f>
        <v/>
      </c>
      <c r="BJ17" s="78" t="str">
        <f>IF(AND($D17&gt;0,BJ$6&gt;=$D17,BJ$6&lt;=$E17),1,IF(AND($F17&gt;0,BJ$6=$F17),"◆",""))</f>
        <v/>
      </c>
      <c r="BK17" s="78" t="str">
        <f>IF(AND($D17&gt;0,BK$6&gt;=$D17,BK$6&lt;=$E17),1,IF(AND($F17&gt;0,BK$6=$F17),"◆",""))</f>
        <v/>
      </c>
      <c r="BL17" s="78" t="str">
        <f>IF(AND($D17&gt;0,BL$6&gt;=$D17,BL$6&lt;=$E17),1,IF(AND($F17&gt;0,BL$6=$F17),"◆",""))</f>
        <v/>
      </c>
      <c r="BM17" s="78" t="str">
        <f>IF(AND($D17&gt;0,BM$6&gt;=$D17,BM$6&lt;=$E17),1,IF(AND($F17&gt;0,BM$6=$F17),"◆",""))</f>
        <v/>
      </c>
      <c r="BN17" s="78" t="str">
        <f>IF(AND($D17&gt;0,BN$6&gt;=$D17,BN$6&lt;=$E17),1,IF(AND($F17&gt;0,BN$6=$F17),"◆",""))</f>
        <v/>
      </c>
      <c r="BO17" s="78" t="str">
        <f>IF(AND($D17&gt;0,BO$6&gt;=$D17,BO$6&lt;=$E17),1,IF(AND($F17&gt;0,BO$6=$F17),"◆",""))</f>
        <v/>
      </c>
      <c r="BP17" s="78" t="str">
        <f>IF(AND($D17&gt;0,BP$6&gt;=$D17,BP$6&lt;=$E17),1,IF(AND($F17&gt;0,BP$6=$F17),"◆",""))</f>
        <v/>
      </c>
    </row>
    <row r="18">
      <c r="A18" s="75" t="str">
        <f>IF(INDEX(of_ref,12)="","",INDEX(of_num,12)&amp;"")</f>
        <v>OF-2611-012</v>
      </c>
      <c r="B18" s="75" t="str">
        <f>IF(INDEX(of_ref,12)="","",INDEX(of_des,12)&amp;"")</f>
        <v>Châssis remorque peint</v>
      </c>
      <c r="C18" s="76" t="str">
        <f>IF(INDEX(of_ref,12)="","",INDEX(of_poste,12)&amp;"")</f>
        <v>PEINT</v>
      </c>
      <c r="D18" s="77">
        <f>INDEX(of_start,12)</f>
        <v>46337.0</v>
      </c>
      <c r="E18" s="77">
        <f>INDEX(of_end,12)</f>
        <v>46337.0</v>
      </c>
      <c r="F18" s="77">
        <f>IF(N(INDEX(of_need,12))=0,0,INDEX(of_need,12))</f>
        <v>46350.0</v>
      </c>
      <c r="G18" s="76" t="str">
        <f>IF(INDEX(of_ref,12)="","",INDEX(of_etat,12)&amp;"")</f>
        <v>À l'heure</v>
      </c>
      <c r="I18" s="78" t="str">
        <f>IF(AND($D18&gt;0,I$6&gt;=$D18,I$6&lt;=$E18),1,IF(AND($F18&gt;0,I$6=$F18),"◆",""))</f>
        <v/>
      </c>
      <c r="J18" s="78" t="str">
        <f>IF(AND($D18&gt;0,J$6&gt;=$D18,J$6&lt;=$E18),1,IF(AND($F18&gt;0,J$6=$F18),"◆",""))</f>
        <v/>
      </c>
      <c r="K18" s="78" t="str">
        <f>IF(AND($D18&gt;0,K$6&gt;=$D18,K$6&lt;=$E18),1,IF(AND($F18&gt;0,K$6=$F18),"◆",""))</f>
        <v/>
      </c>
      <c r="L18" s="78" t="str">
        <f>IF(AND($D18&gt;0,L$6&gt;=$D18,L$6&lt;=$E18),1,IF(AND($F18&gt;0,L$6=$F18),"◆",""))</f>
        <v/>
      </c>
      <c r="M18" s="78" t="str">
        <f>IF(AND($D18&gt;0,M$6&gt;=$D18,M$6&lt;=$E18),1,IF(AND($F18&gt;0,M$6=$F18),"◆",""))</f>
        <v/>
      </c>
      <c r="N18" s="78" t="str">
        <f>IF(AND($D18&gt;0,N$6&gt;=$D18,N$6&lt;=$E18),1,IF(AND($F18&gt;0,N$6=$F18),"◆",""))</f>
        <v/>
      </c>
      <c r="O18" s="78">
        <f>IF(AND($D18&gt;0,O$6&gt;=$D18,O$6&lt;=$E18),1,IF(AND($F18&gt;0,O$6=$F18),"◆",""))</f>
        <v>1.0</v>
      </c>
      <c r="P18" s="78" t="str">
        <f>IF(AND($D18&gt;0,P$6&gt;=$D18,P$6&lt;=$E18),1,IF(AND($F18&gt;0,P$6=$F18),"◆",""))</f>
        <v/>
      </c>
      <c r="Q18" s="78" t="str">
        <f>IF(AND($D18&gt;0,Q$6&gt;=$D18,Q$6&lt;=$E18),1,IF(AND($F18&gt;0,Q$6=$F18),"◆",""))</f>
        <v/>
      </c>
      <c r="R18" s="78" t="str">
        <f>IF(AND($D18&gt;0,R$6&gt;=$D18,R$6&lt;=$E18),1,IF(AND($F18&gt;0,R$6=$F18),"◆",""))</f>
        <v/>
      </c>
      <c r="S18" s="78" t="str">
        <f>IF(AND($D18&gt;0,S$6&gt;=$D18,S$6&lt;=$E18),1,IF(AND($F18&gt;0,S$6=$F18),"◆",""))</f>
        <v/>
      </c>
      <c r="T18" s="78" t="str">
        <f>IF(AND($D18&gt;0,T$6&gt;=$D18,T$6&lt;=$E18),1,IF(AND($F18&gt;0,T$6=$F18),"◆",""))</f>
        <v/>
      </c>
      <c r="U18" s="78" t="str">
        <f>IF(AND($D18&gt;0,U$6&gt;=$D18,U$6&lt;=$E18),1,IF(AND($F18&gt;0,U$6=$F18),"◆",""))</f>
        <v/>
      </c>
      <c r="V18" s="78" t="str">
        <f>IF(AND($D18&gt;0,V$6&gt;=$D18,V$6&lt;=$E18),1,IF(AND($F18&gt;0,V$6=$F18),"◆",""))</f>
        <v/>
      </c>
      <c r="W18" s="78" t="str">
        <f>IF(AND($D18&gt;0,W$6&gt;=$D18,W$6&lt;=$E18),1,IF(AND($F18&gt;0,W$6=$F18),"◆",""))</f>
        <v>◆</v>
      </c>
      <c r="X18" s="78" t="str">
        <f>IF(AND($D18&gt;0,X$6&gt;=$D18,X$6&lt;=$E18),1,IF(AND($F18&gt;0,X$6=$F18),"◆",""))</f>
        <v/>
      </c>
      <c r="Y18" s="78" t="str">
        <f>IF(AND($D18&gt;0,Y$6&gt;=$D18,Y$6&lt;=$E18),1,IF(AND($F18&gt;0,Y$6=$F18),"◆",""))</f>
        <v/>
      </c>
      <c r="Z18" s="78" t="str">
        <f>IF(AND($D18&gt;0,Z$6&gt;=$D18,Z$6&lt;=$E18),1,IF(AND($F18&gt;0,Z$6=$F18),"◆",""))</f>
        <v/>
      </c>
      <c r="AA18" s="78" t="str">
        <f>IF(AND($D18&gt;0,AA$6&gt;=$D18,AA$6&lt;=$E18),1,IF(AND($F18&gt;0,AA$6=$F18),"◆",""))</f>
        <v/>
      </c>
      <c r="AB18" s="78" t="str">
        <f>IF(AND($D18&gt;0,AB$6&gt;=$D18,AB$6&lt;=$E18),1,IF(AND($F18&gt;0,AB$6=$F18),"◆",""))</f>
        <v/>
      </c>
      <c r="AC18" s="78" t="str">
        <f>IF(AND($D18&gt;0,AC$6&gt;=$D18,AC$6&lt;=$E18),1,IF(AND($F18&gt;0,AC$6=$F18),"◆",""))</f>
        <v/>
      </c>
      <c r="AD18" s="78" t="str">
        <f>IF(AND($D18&gt;0,AD$6&gt;=$D18,AD$6&lt;=$E18),1,IF(AND($F18&gt;0,AD$6=$F18),"◆",""))</f>
        <v/>
      </c>
      <c r="AE18" s="78" t="str">
        <f>IF(AND($D18&gt;0,AE$6&gt;=$D18,AE$6&lt;=$E18),1,IF(AND($F18&gt;0,AE$6=$F18),"◆",""))</f>
        <v/>
      </c>
      <c r="AF18" s="78" t="str">
        <f>IF(AND($D18&gt;0,AF$6&gt;=$D18,AF$6&lt;=$E18),1,IF(AND($F18&gt;0,AF$6=$F18),"◆",""))</f>
        <v/>
      </c>
      <c r="AG18" s="78" t="str">
        <f>IF(AND($D18&gt;0,AG$6&gt;=$D18,AG$6&lt;=$E18),1,IF(AND($F18&gt;0,AG$6=$F18),"◆",""))</f>
        <v/>
      </c>
      <c r="AH18" s="78" t="str">
        <f>IF(AND($D18&gt;0,AH$6&gt;=$D18,AH$6&lt;=$E18),1,IF(AND($F18&gt;0,AH$6=$F18),"◆",""))</f>
        <v/>
      </c>
      <c r="AI18" s="78" t="str">
        <f>IF(AND($D18&gt;0,AI$6&gt;=$D18,AI$6&lt;=$E18),1,IF(AND($F18&gt;0,AI$6=$F18),"◆",""))</f>
        <v/>
      </c>
      <c r="AJ18" s="78" t="str">
        <f>IF(AND($D18&gt;0,AJ$6&gt;=$D18,AJ$6&lt;=$E18),1,IF(AND($F18&gt;0,AJ$6=$F18),"◆",""))</f>
        <v/>
      </c>
      <c r="AK18" s="78" t="str">
        <f>IF(AND($D18&gt;0,AK$6&gt;=$D18,AK$6&lt;=$E18),1,IF(AND($F18&gt;0,AK$6=$F18),"◆",""))</f>
        <v/>
      </c>
      <c r="AL18" s="78" t="str">
        <f>IF(AND($D18&gt;0,AL$6&gt;=$D18,AL$6&lt;=$E18),1,IF(AND($F18&gt;0,AL$6=$F18),"◆",""))</f>
        <v/>
      </c>
      <c r="AM18" s="78" t="str">
        <f>IF(AND($D18&gt;0,AM$6&gt;=$D18,AM$6&lt;=$E18),1,IF(AND($F18&gt;0,AM$6=$F18),"◆",""))</f>
        <v/>
      </c>
      <c r="AN18" s="78" t="str">
        <f>IF(AND($D18&gt;0,AN$6&gt;=$D18,AN$6&lt;=$E18),1,IF(AND($F18&gt;0,AN$6=$F18),"◆",""))</f>
        <v/>
      </c>
      <c r="AO18" s="78" t="str">
        <f>IF(AND($D18&gt;0,AO$6&gt;=$D18,AO$6&lt;=$E18),1,IF(AND($F18&gt;0,AO$6=$F18),"◆",""))</f>
        <v/>
      </c>
      <c r="AP18" s="78" t="str">
        <f>IF(AND($D18&gt;0,AP$6&gt;=$D18,AP$6&lt;=$E18),1,IF(AND($F18&gt;0,AP$6=$F18),"◆",""))</f>
        <v/>
      </c>
      <c r="AQ18" s="78" t="str">
        <f>IF(AND($D18&gt;0,AQ$6&gt;=$D18,AQ$6&lt;=$E18),1,IF(AND($F18&gt;0,AQ$6=$F18),"◆",""))</f>
        <v/>
      </c>
      <c r="AR18" s="78" t="str">
        <f>IF(AND($D18&gt;0,AR$6&gt;=$D18,AR$6&lt;=$E18),1,IF(AND($F18&gt;0,AR$6=$F18),"◆",""))</f>
        <v/>
      </c>
      <c r="AS18" s="78" t="str">
        <f>IF(AND($D18&gt;0,AS$6&gt;=$D18,AS$6&lt;=$E18),1,IF(AND($F18&gt;0,AS$6=$F18),"◆",""))</f>
        <v/>
      </c>
      <c r="AT18" s="78" t="str">
        <f>IF(AND($D18&gt;0,AT$6&gt;=$D18,AT$6&lt;=$E18),1,IF(AND($F18&gt;0,AT$6=$F18),"◆",""))</f>
        <v/>
      </c>
      <c r="AU18" s="78" t="str">
        <f>IF(AND($D18&gt;0,AU$6&gt;=$D18,AU$6&lt;=$E18),1,IF(AND($F18&gt;0,AU$6=$F18),"◆",""))</f>
        <v/>
      </c>
      <c r="AV18" s="78" t="str">
        <f>IF(AND($D18&gt;0,AV$6&gt;=$D18,AV$6&lt;=$E18),1,IF(AND($F18&gt;0,AV$6=$F18),"◆",""))</f>
        <v/>
      </c>
      <c r="AW18" s="78" t="str">
        <f>IF(AND($D18&gt;0,AW$6&gt;=$D18,AW$6&lt;=$E18),1,IF(AND($F18&gt;0,AW$6=$F18),"◆",""))</f>
        <v/>
      </c>
      <c r="AX18" s="78" t="str">
        <f>IF(AND($D18&gt;0,AX$6&gt;=$D18,AX$6&lt;=$E18),1,IF(AND($F18&gt;0,AX$6=$F18),"◆",""))</f>
        <v/>
      </c>
      <c r="AY18" s="78" t="str">
        <f>IF(AND($D18&gt;0,AY$6&gt;=$D18,AY$6&lt;=$E18),1,IF(AND($F18&gt;0,AY$6=$F18),"◆",""))</f>
        <v/>
      </c>
      <c r="AZ18" s="78" t="str">
        <f>IF(AND($D18&gt;0,AZ$6&gt;=$D18,AZ$6&lt;=$E18),1,IF(AND($F18&gt;0,AZ$6=$F18),"◆",""))</f>
        <v/>
      </c>
      <c r="BA18" s="78" t="str">
        <f>IF(AND($D18&gt;0,BA$6&gt;=$D18,BA$6&lt;=$E18),1,IF(AND($F18&gt;0,BA$6=$F18),"◆",""))</f>
        <v/>
      </c>
      <c r="BB18" s="78" t="str">
        <f>IF(AND($D18&gt;0,BB$6&gt;=$D18,BB$6&lt;=$E18),1,IF(AND($F18&gt;0,BB$6=$F18),"◆",""))</f>
        <v/>
      </c>
      <c r="BC18" s="78" t="str">
        <f>IF(AND($D18&gt;0,BC$6&gt;=$D18,BC$6&lt;=$E18),1,IF(AND($F18&gt;0,BC$6=$F18),"◆",""))</f>
        <v/>
      </c>
      <c r="BD18" s="78" t="str">
        <f>IF(AND($D18&gt;0,BD$6&gt;=$D18,BD$6&lt;=$E18),1,IF(AND($F18&gt;0,BD$6=$F18),"◆",""))</f>
        <v/>
      </c>
      <c r="BE18" s="78" t="str">
        <f>IF(AND($D18&gt;0,BE$6&gt;=$D18,BE$6&lt;=$E18),1,IF(AND($F18&gt;0,BE$6=$F18),"◆",""))</f>
        <v/>
      </c>
      <c r="BF18" s="78" t="str">
        <f>IF(AND($D18&gt;0,BF$6&gt;=$D18,BF$6&lt;=$E18),1,IF(AND($F18&gt;0,BF$6=$F18),"◆",""))</f>
        <v/>
      </c>
      <c r="BG18" s="78" t="str">
        <f>IF(AND($D18&gt;0,BG$6&gt;=$D18,BG$6&lt;=$E18),1,IF(AND($F18&gt;0,BG$6=$F18),"◆",""))</f>
        <v/>
      </c>
      <c r="BH18" s="78" t="str">
        <f>IF(AND($D18&gt;0,BH$6&gt;=$D18,BH$6&lt;=$E18),1,IF(AND($F18&gt;0,BH$6=$F18),"◆",""))</f>
        <v/>
      </c>
      <c r="BI18" s="78" t="str">
        <f>IF(AND($D18&gt;0,BI$6&gt;=$D18,BI$6&lt;=$E18),1,IF(AND($F18&gt;0,BI$6=$F18),"◆",""))</f>
        <v/>
      </c>
      <c r="BJ18" s="78" t="str">
        <f>IF(AND($D18&gt;0,BJ$6&gt;=$D18,BJ$6&lt;=$E18),1,IF(AND($F18&gt;0,BJ$6=$F18),"◆",""))</f>
        <v/>
      </c>
      <c r="BK18" s="78" t="str">
        <f>IF(AND($D18&gt;0,BK$6&gt;=$D18,BK$6&lt;=$E18),1,IF(AND($F18&gt;0,BK$6=$F18),"◆",""))</f>
        <v/>
      </c>
      <c r="BL18" s="78" t="str">
        <f>IF(AND($D18&gt;0,BL$6&gt;=$D18,BL$6&lt;=$E18),1,IF(AND($F18&gt;0,BL$6=$F18),"◆",""))</f>
        <v/>
      </c>
      <c r="BM18" s="78" t="str">
        <f>IF(AND($D18&gt;0,BM$6&gt;=$D18,BM$6&lt;=$E18),1,IF(AND($F18&gt;0,BM$6=$F18),"◆",""))</f>
        <v/>
      </c>
      <c r="BN18" s="78" t="str">
        <f>IF(AND($D18&gt;0,BN$6&gt;=$D18,BN$6&lt;=$E18),1,IF(AND($F18&gt;0,BN$6=$F18),"◆",""))</f>
        <v/>
      </c>
      <c r="BO18" s="78" t="str">
        <f>IF(AND($D18&gt;0,BO$6&gt;=$D18,BO$6&lt;=$E18),1,IF(AND($F18&gt;0,BO$6=$F18),"◆",""))</f>
        <v/>
      </c>
      <c r="BP18" s="78" t="str">
        <f>IF(AND($D18&gt;0,BP$6&gt;=$D18,BP$6&lt;=$E18),1,IF(AND($F18&gt;0,BP$6=$F18),"◆",""))</f>
        <v/>
      </c>
    </row>
    <row r="19">
      <c r="A19" s="75" t="str">
        <f>IF(INDEX(of_ref,13)="","",INDEX(of_num,13)&amp;"")</f>
        <v>OF-2611-013</v>
      </c>
      <c r="B19" s="75" t="str">
        <f>IF(INDEX(of_ref,13)="","",INDEX(of_des,13)&amp;"")</f>
        <v>Kit attelage monté</v>
      </c>
      <c r="C19" s="76" t="str">
        <f>IF(INDEX(of_ref,13)="","",INDEX(of_poste,13)&amp;"")</f>
        <v>MONT</v>
      </c>
      <c r="D19" s="77">
        <f>INDEX(of_start,13)</f>
        <v>46328.0</v>
      </c>
      <c r="E19" s="77">
        <f>INDEX(of_end,13)</f>
        <v>46335.0</v>
      </c>
      <c r="F19" s="77">
        <f>IF(N(INDEX(of_need,13))=0,0,INDEX(of_need,13))</f>
        <v>46351.0</v>
      </c>
      <c r="G19" s="76" t="str">
        <f>IF(INDEX(of_ref,13)="","",INDEX(of_etat,13)&amp;"")</f>
        <v>À l'heure</v>
      </c>
      <c r="I19" s="78">
        <f>IF(AND($D19&gt;0,I$6&gt;=$D19,I$6&lt;=$E19),1,IF(AND($F19&gt;0,I$6=$F19),"◆",""))</f>
        <v>1.0</v>
      </c>
      <c r="J19" s="78">
        <f>IF(AND($D19&gt;0,J$6&gt;=$D19,J$6&lt;=$E19),1,IF(AND($F19&gt;0,J$6=$F19),"◆",""))</f>
        <v>1.0</v>
      </c>
      <c r="K19" s="78">
        <f>IF(AND($D19&gt;0,K$6&gt;=$D19,K$6&lt;=$E19),1,IF(AND($F19&gt;0,K$6=$F19),"◆",""))</f>
        <v>1.0</v>
      </c>
      <c r="L19" s="78">
        <f>IF(AND($D19&gt;0,L$6&gt;=$D19,L$6&lt;=$E19),1,IF(AND($F19&gt;0,L$6=$F19),"◆",""))</f>
        <v>1.0</v>
      </c>
      <c r="M19" s="78">
        <f>IF(AND($D19&gt;0,M$6&gt;=$D19,M$6&lt;=$E19),1,IF(AND($F19&gt;0,M$6=$F19),"◆",""))</f>
        <v>1.0</v>
      </c>
      <c r="N19" s="78" t="str">
        <f>IF(AND($D19&gt;0,N$6&gt;=$D19,N$6&lt;=$E19),1,IF(AND($F19&gt;0,N$6=$F19),"◆",""))</f>
        <v/>
      </c>
      <c r="O19" s="78" t="str">
        <f>IF(AND($D19&gt;0,O$6&gt;=$D19,O$6&lt;=$E19),1,IF(AND($F19&gt;0,O$6=$F19),"◆",""))</f>
        <v/>
      </c>
      <c r="P19" s="78" t="str">
        <f>IF(AND($D19&gt;0,P$6&gt;=$D19,P$6&lt;=$E19),1,IF(AND($F19&gt;0,P$6=$F19),"◆",""))</f>
        <v/>
      </c>
      <c r="Q19" s="78" t="str">
        <f>IF(AND($D19&gt;0,Q$6&gt;=$D19,Q$6&lt;=$E19),1,IF(AND($F19&gt;0,Q$6=$F19),"◆",""))</f>
        <v/>
      </c>
      <c r="R19" s="78" t="str">
        <f>IF(AND($D19&gt;0,R$6&gt;=$D19,R$6&lt;=$E19),1,IF(AND($F19&gt;0,R$6=$F19),"◆",""))</f>
        <v/>
      </c>
      <c r="S19" s="78" t="str">
        <f>IF(AND($D19&gt;0,S$6&gt;=$D19,S$6&lt;=$E19),1,IF(AND($F19&gt;0,S$6=$F19),"◆",""))</f>
        <v/>
      </c>
      <c r="T19" s="78" t="str">
        <f>IF(AND($D19&gt;0,T$6&gt;=$D19,T$6&lt;=$E19),1,IF(AND($F19&gt;0,T$6=$F19),"◆",""))</f>
        <v/>
      </c>
      <c r="U19" s="78" t="str">
        <f>IF(AND($D19&gt;0,U$6&gt;=$D19,U$6&lt;=$E19),1,IF(AND($F19&gt;0,U$6=$F19),"◆",""))</f>
        <v/>
      </c>
      <c r="V19" s="78" t="str">
        <f>IF(AND($D19&gt;0,V$6&gt;=$D19,V$6&lt;=$E19),1,IF(AND($F19&gt;0,V$6=$F19),"◆",""))</f>
        <v/>
      </c>
      <c r="W19" s="78" t="str">
        <f>IF(AND($D19&gt;0,W$6&gt;=$D19,W$6&lt;=$E19),1,IF(AND($F19&gt;0,W$6=$F19),"◆",""))</f>
        <v/>
      </c>
      <c r="X19" s="78" t="str">
        <f>IF(AND($D19&gt;0,X$6&gt;=$D19,X$6&lt;=$E19),1,IF(AND($F19&gt;0,X$6=$F19),"◆",""))</f>
        <v>◆</v>
      </c>
      <c r="Y19" s="78" t="str">
        <f>IF(AND($D19&gt;0,Y$6&gt;=$D19,Y$6&lt;=$E19),1,IF(AND($F19&gt;0,Y$6=$F19),"◆",""))</f>
        <v/>
      </c>
      <c r="Z19" s="78" t="str">
        <f>IF(AND($D19&gt;0,Z$6&gt;=$D19,Z$6&lt;=$E19),1,IF(AND($F19&gt;0,Z$6=$F19),"◆",""))</f>
        <v/>
      </c>
      <c r="AA19" s="78" t="str">
        <f>IF(AND($D19&gt;0,AA$6&gt;=$D19,AA$6&lt;=$E19),1,IF(AND($F19&gt;0,AA$6=$F19),"◆",""))</f>
        <v/>
      </c>
      <c r="AB19" s="78" t="str">
        <f>IF(AND($D19&gt;0,AB$6&gt;=$D19,AB$6&lt;=$E19),1,IF(AND($F19&gt;0,AB$6=$F19),"◆",""))</f>
        <v/>
      </c>
      <c r="AC19" s="78" t="str">
        <f>IF(AND($D19&gt;0,AC$6&gt;=$D19,AC$6&lt;=$E19),1,IF(AND($F19&gt;0,AC$6=$F19),"◆",""))</f>
        <v/>
      </c>
      <c r="AD19" s="78" t="str">
        <f>IF(AND($D19&gt;0,AD$6&gt;=$D19,AD$6&lt;=$E19),1,IF(AND($F19&gt;0,AD$6=$F19),"◆",""))</f>
        <v/>
      </c>
      <c r="AE19" s="78" t="str">
        <f>IF(AND($D19&gt;0,AE$6&gt;=$D19,AE$6&lt;=$E19),1,IF(AND($F19&gt;0,AE$6=$F19),"◆",""))</f>
        <v/>
      </c>
      <c r="AF19" s="78" t="str">
        <f>IF(AND($D19&gt;0,AF$6&gt;=$D19,AF$6&lt;=$E19),1,IF(AND($F19&gt;0,AF$6=$F19),"◆",""))</f>
        <v/>
      </c>
      <c r="AG19" s="78" t="str">
        <f>IF(AND($D19&gt;0,AG$6&gt;=$D19,AG$6&lt;=$E19),1,IF(AND($F19&gt;0,AG$6=$F19),"◆",""))</f>
        <v/>
      </c>
      <c r="AH19" s="78" t="str">
        <f>IF(AND($D19&gt;0,AH$6&gt;=$D19,AH$6&lt;=$E19),1,IF(AND($F19&gt;0,AH$6=$F19),"◆",""))</f>
        <v/>
      </c>
      <c r="AI19" s="78" t="str">
        <f>IF(AND($D19&gt;0,AI$6&gt;=$D19,AI$6&lt;=$E19),1,IF(AND($F19&gt;0,AI$6=$F19),"◆",""))</f>
        <v/>
      </c>
      <c r="AJ19" s="78" t="str">
        <f>IF(AND($D19&gt;0,AJ$6&gt;=$D19,AJ$6&lt;=$E19),1,IF(AND($F19&gt;0,AJ$6=$F19),"◆",""))</f>
        <v/>
      </c>
      <c r="AK19" s="78" t="str">
        <f>IF(AND($D19&gt;0,AK$6&gt;=$D19,AK$6&lt;=$E19),1,IF(AND($F19&gt;0,AK$6=$F19),"◆",""))</f>
        <v/>
      </c>
      <c r="AL19" s="78" t="str">
        <f>IF(AND($D19&gt;0,AL$6&gt;=$D19,AL$6&lt;=$E19),1,IF(AND($F19&gt;0,AL$6=$F19),"◆",""))</f>
        <v/>
      </c>
      <c r="AM19" s="78" t="str">
        <f>IF(AND($D19&gt;0,AM$6&gt;=$D19,AM$6&lt;=$E19),1,IF(AND($F19&gt;0,AM$6=$F19),"◆",""))</f>
        <v/>
      </c>
      <c r="AN19" s="78" t="str">
        <f>IF(AND($D19&gt;0,AN$6&gt;=$D19,AN$6&lt;=$E19),1,IF(AND($F19&gt;0,AN$6=$F19),"◆",""))</f>
        <v/>
      </c>
      <c r="AO19" s="78" t="str">
        <f>IF(AND($D19&gt;0,AO$6&gt;=$D19,AO$6&lt;=$E19),1,IF(AND($F19&gt;0,AO$6=$F19),"◆",""))</f>
        <v/>
      </c>
      <c r="AP19" s="78" t="str">
        <f>IF(AND($D19&gt;0,AP$6&gt;=$D19,AP$6&lt;=$E19),1,IF(AND($F19&gt;0,AP$6=$F19),"◆",""))</f>
        <v/>
      </c>
      <c r="AQ19" s="78" t="str">
        <f>IF(AND($D19&gt;0,AQ$6&gt;=$D19,AQ$6&lt;=$E19),1,IF(AND($F19&gt;0,AQ$6=$F19),"◆",""))</f>
        <v/>
      </c>
      <c r="AR19" s="78" t="str">
        <f>IF(AND($D19&gt;0,AR$6&gt;=$D19,AR$6&lt;=$E19),1,IF(AND($F19&gt;0,AR$6=$F19),"◆",""))</f>
        <v/>
      </c>
      <c r="AS19" s="78" t="str">
        <f>IF(AND($D19&gt;0,AS$6&gt;=$D19,AS$6&lt;=$E19),1,IF(AND($F19&gt;0,AS$6=$F19),"◆",""))</f>
        <v/>
      </c>
      <c r="AT19" s="78" t="str">
        <f>IF(AND($D19&gt;0,AT$6&gt;=$D19,AT$6&lt;=$E19),1,IF(AND($F19&gt;0,AT$6=$F19),"◆",""))</f>
        <v/>
      </c>
      <c r="AU19" s="78" t="str">
        <f>IF(AND($D19&gt;0,AU$6&gt;=$D19,AU$6&lt;=$E19),1,IF(AND($F19&gt;0,AU$6=$F19),"◆",""))</f>
        <v/>
      </c>
      <c r="AV19" s="78" t="str">
        <f>IF(AND($D19&gt;0,AV$6&gt;=$D19,AV$6&lt;=$E19),1,IF(AND($F19&gt;0,AV$6=$F19),"◆",""))</f>
        <v/>
      </c>
      <c r="AW19" s="78" t="str">
        <f>IF(AND($D19&gt;0,AW$6&gt;=$D19,AW$6&lt;=$E19),1,IF(AND($F19&gt;0,AW$6=$F19),"◆",""))</f>
        <v/>
      </c>
      <c r="AX19" s="78" t="str">
        <f>IF(AND($D19&gt;0,AX$6&gt;=$D19,AX$6&lt;=$E19),1,IF(AND($F19&gt;0,AX$6=$F19),"◆",""))</f>
        <v/>
      </c>
      <c r="AY19" s="78" t="str">
        <f>IF(AND($D19&gt;0,AY$6&gt;=$D19,AY$6&lt;=$E19),1,IF(AND($F19&gt;0,AY$6=$F19),"◆",""))</f>
        <v/>
      </c>
      <c r="AZ19" s="78" t="str">
        <f>IF(AND($D19&gt;0,AZ$6&gt;=$D19,AZ$6&lt;=$E19),1,IF(AND($F19&gt;0,AZ$6=$F19),"◆",""))</f>
        <v/>
      </c>
      <c r="BA19" s="78" t="str">
        <f>IF(AND($D19&gt;0,BA$6&gt;=$D19,BA$6&lt;=$E19),1,IF(AND($F19&gt;0,BA$6=$F19),"◆",""))</f>
        <v/>
      </c>
      <c r="BB19" s="78" t="str">
        <f>IF(AND($D19&gt;0,BB$6&gt;=$D19,BB$6&lt;=$E19),1,IF(AND($F19&gt;0,BB$6=$F19),"◆",""))</f>
        <v/>
      </c>
      <c r="BC19" s="78" t="str">
        <f>IF(AND($D19&gt;0,BC$6&gt;=$D19,BC$6&lt;=$E19),1,IF(AND($F19&gt;0,BC$6=$F19),"◆",""))</f>
        <v/>
      </c>
      <c r="BD19" s="78" t="str">
        <f>IF(AND($D19&gt;0,BD$6&gt;=$D19,BD$6&lt;=$E19),1,IF(AND($F19&gt;0,BD$6=$F19),"◆",""))</f>
        <v/>
      </c>
      <c r="BE19" s="78" t="str">
        <f>IF(AND($D19&gt;0,BE$6&gt;=$D19,BE$6&lt;=$E19),1,IF(AND($F19&gt;0,BE$6=$F19),"◆",""))</f>
        <v/>
      </c>
      <c r="BF19" s="78" t="str">
        <f>IF(AND($D19&gt;0,BF$6&gt;=$D19,BF$6&lt;=$E19),1,IF(AND($F19&gt;0,BF$6=$F19),"◆",""))</f>
        <v/>
      </c>
      <c r="BG19" s="78" t="str">
        <f>IF(AND($D19&gt;0,BG$6&gt;=$D19,BG$6&lt;=$E19),1,IF(AND($F19&gt;0,BG$6=$F19),"◆",""))</f>
        <v/>
      </c>
      <c r="BH19" s="78" t="str">
        <f>IF(AND($D19&gt;0,BH$6&gt;=$D19,BH$6&lt;=$E19),1,IF(AND($F19&gt;0,BH$6=$F19),"◆",""))</f>
        <v/>
      </c>
      <c r="BI19" s="78" t="str">
        <f>IF(AND($D19&gt;0,BI$6&gt;=$D19,BI$6&lt;=$E19),1,IF(AND($F19&gt;0,BI$6=$F19),"◆",""))</f>
        <v/>
      </c>
      <c r="BJ19" s="78" t="str">
        <f>IF(AND($D19&gt;0,BJ$6&gt;=$D19,BJ$6&lt;=$E19),1,IF(AND($F19&gt;0,BJ$6=$F19),"◆",""))</f>
        <v/>
      </c>
      <c r="BK19" s="78" t="str">
        <f>IF(AND($D19&gt;0,BK$6&gt;=$D19,BK$6&lt;=$E19),1,IF(AND($F19&gt;0,BK$6=$F19),"◆",""))</f>
        <v/>
      </c>
      <c r="BL19" s="78" t="str">
        <f>IF(AND($D19&gt;0,BL$6&gt;=$D19,BL$6&lt;=$E19),1,IF(AND($F19&gt;0,BL$6=$F19),"◆",""))</f>
        <v/>
      </c>
      <c r="BM19" s="78" t="str">
        <f>IF(AND($D19&gt;0,BM$6&gt;=$D19,BM$6&lt;=$E19),1,IF(AND($F19&gt;0,BM$6=$F19),"◆",""))</f>
        <v/>
      </c>
      <c r="BN19" s="78" t="str">
        <f>IF(AND($D19&gt;0,BN$6&gt;=$D19,BN$6&lt;=$E19),1,IF(AND($F19&gt;0,BN$6=$F19),"◆",""))</f>
        <v/>
      </c>
      <c r="BO19" s="78" t="str">
        <f>IF(AND($D19&gt;0,BO$6&gt;=$D19,BO$6&lt;=$E19),1,IF(AND($F19&gt;0,BO$6=$F19),"◆",""))</f>
        <v/>
      </c>
      <c r="BP19" s="78" t="str">
        <f>IF(AND($D19&gt;0,BP$6&gt;=$D19,BP$6&lt;=$E19),1,IF(AND($F19&gt;0,BP$6=$F19),"◆",""))</f>
        <v/>
      </c>
    </row>
    <row r="20">
      <c r="A20" s="75" t="str">
        <f>IF(INDEX(of_ref,14)="","",INDEX(of_num,14)&amp;"")</f>
        <v>OF-2611-014</v>
      </c>
      <c r="B20" s="75" t="str">
        <f>IF(INDEX(of_ref,14)="","",INDEX(of_des,14)&amp;"")</f>
        <v>Entretoise Ø12</v>
      </c>
      <c r="C20" s="76" t="str">
        <f>IF(INDEX(of_ref,14)="","",INDEX(of_poste,14)&amp;"")</f>
        <v>TOUR</v>
      </c>
      <c r="D20" s="77">
        <f>INDEX(of_start,14)</f>
        <v>46338.0</v>
      </c>
      <c r="E20" s="77">
        <f>INDEX(of_end,14)</f>
        <v>46343.0</v>
      </c>
      <c r="F20" s="77">
        <f>IF(N(INDEX(of_need,14))=0,0,INDEX(of_need,14))</f>
        <v>46353.0</v>
      </c>
      <c r="G20" s="76" t="str">
        <f>IF(INDEX(of_ref,14)="","",INDEX(of_etat,14)&amp;"")</f>
        <v>À l'heure</v>
      </c>
      <c r="I20" s="78" t="str">
        <f>IF(AND($D20&gt;0,I$6&gt;=$D20,I$6&lt;=$E20),1,IF(AND($F20&gt;0,I$6=$F20),"◆",""))</f>
        <v/>
      </c>
      <c r="J20" s="78" t="str">
        <f>IF(AND($D20&gt;0,J$6&gt;=$D20,J$6&lt;=$E20),1,IF(AND($F20&gt;0,J$6=$F20),"◆",""))</f>
        <v/>
      </c>
      <c r="K20" s="78" t="str">
        <f>IF(AND($D20&gt;0,K$6&gt;=$D20,K$6&lt;=$E20),1,IF(AND($F20&gt;0,K$6=$F20),"◆",""))</f>
        <v/>
      </c>
      <c r="L20" s="78" t="str">
        <f>IF(AND($D20&gt;0,L$6&gt;=$D20,L$6&lt;=$E20),1,IF(AND($F20&gt;0,L$6=$F20),"◆",""))</f>
        <v/>
      </c>
      <c r="M20" s="78" t="str">
        <f>IF(AND($D20&gt;0,M$6&gt;=$D20,M$6&lt;=$E20),1,IF(AND($F20&gt;0,M$6=$F20),"◆",""))</f>
        <v/>
      </c>
      <c r="N20" s="78" t="str">
        <f>IF(AND($D20&gt;0,N$6&gt;=$D20,N$6&lt;=$E20),1,IF(AND($F20&gt;0,N$6=$F20),"◆",""))</f>
        <v/>
      </c>
      <c r="O20" s="78" t="str">
        <f>IF(AND($D20&gt;0,O$6&gt;=$D20,O$6&lt;=$E20),1,IF(AND($F20&gt;0,O$6=$F20),"◆",""))</f>
        <v/>
      </c>
      <c r="P20" s="78">
        <f>IF(AND($D20&gt;0,P$6&gt;=$D20,P$6&lt;=$E20),1,IF(AND($F20&gt;0,P$6=$F20),"◆",""))</f>
        <v>1.0</v>
      </c>
      <c r="Q20" s="78">
        <f>IF(AND($D20&gt;0,Q$6&gt;=$D20,Q$6&lt;=$E20),1,IF(AND($F20&gt;0,Q$6=$F20),"◆",""))</f>
        <v>1.0</v>
      </c>
      <c r="R20" s="78">
        <f>IF(AND($D20&gt;0,R$6&gt;=$D20,R$6&lt;=$E20),1,IF(AND($F20&gt;0,R$6=$F20),"◆",""))</f>
        <v>1.0</v>
      </c>
      <c r="S20" s="78">
        <f>IF(AND($D20&gt;0,S$6&gt;=$D20,S$6&lt;=$E20),1,IF(AND($F20&gt;0,S$6=$F20),"◆",""))</f>
        <v>1.0</v>
      </c>
      <c r="T20" s="78" t="str">
        <f>IF(AND($D20&gt;0,T$6&gt;=$D20,T$6&lt;=$E20),1,IF(AND($F20&gt;0,T$6=$F20),"◆",""))</f>
        <v/>
      </c>
      <c r="U20" s="78" t="str">
        <f>IF(AND($D20&gt;0,U$6&gt;=$D20,U$6&lt;=$E20),1,IF(AND($F20&gt;0,U$6=$F20),"◆",""))</f>
        <v/>
      </c>
      <c r="V20" s="78" t="str">
        <f>IF(AND($D20&gt;0,V$6&gt;=$D20,V$6&lt;=$E20),1,IF(AND($F20&gt;0,V$6=$F20),"◆",""))</f>
        <v/>
      </c>
      <c r="W20" s="78" t="str">
        <f>IF(AND($D20&gt;0,W$6&gt;=$D20,W$6&lt;=$E20),1,IF(AND($F20&gt;0,W$6=$F20),"◆",""))</f>
        <v/>
      </c>
      <c r="X20" s="78" t="str">
        <f>IF(AND($D20&gt;0,X$6&gt;=$D20,X$6&lt;=$E20),1,IF(AND($F20&gt;0,X$6=$F20),"◆",""))</f>
        <v/>
      </c>
      <c r="Y20" s="78" t="str">
        <f>IF(AND($D20&gt;0,Y$6&gt;=$D20,Y$6&lt;=$E20),1,IF(AND($F20&gt;0,Y$6=$F20),"◆",""))</f>
        <v/>
      </c>
      <c r="Z20" s="78" t="str">
        <f>IF(AND($D20&gt;0,Z$6&gt;=$D20,Z$6&lt;=$E20),1,IF(AND($F20&gt;0,Z$6=$F20),"◆",""))</f>
        <v>◆</v>
      </c>
      <c r="AA20" s="78" t="str">
        <f>IF(AND($D20&gt;0,AA$6&gt;=$D20,AA$6&lt;=$E20),1,IF(AND($F20&gt;0,AA$6=$F20),"◆",""))</f>
        <v/>
      </c>
      <c r="AB20" s="78" t="str">
        <f>IF(AND($D20&gt;0,AB$6&gt;=$D20,AB$6&lt;=$E20),1,IF(AND($F20&gt;0,AB$6=$F20),"◆",""))</f>
        <v/>
      </c>
      <c r="AC20" s="78" t="str">
        <f>IF(AND($D20&gt;0,AC$6&gt;=$D20,AC$6&lt;=$E20),1,IF(AND($F20&gt;0,AC$6=$F20),"◆",""))</f>
        <v/>
      </c>
      <c r="AD20" s="78" t="str">
        <f>IF(AND($D20&gt;0,AD$6&gt;=$D20,AD$6&lt;=$E20),1,IF(AND($F20&gt;0,AD$6=$F20),"◆",""))</f>
        <v/>
      </c>
      <c r="AE20" s="78" t="str">
        <f>IF(AND($D20&gt;0,AE$6&gt;=$D20,AE$6&lt;=$E20),1,IF(AND($F20&gt;0,AE$6=$F20),"◆",""))</f>
        <v/>
      </c>
      <c r="AF20" s="78" t="str">
        <f>IF(AND($D20&gt;0,AF$6&gt;=$D20,AF$6&lt;=$E20),1,IF(AND($F20&gt;0,AF$6=$F20),"◆",""))</f>
        <v/>
      </c>
      <c r="AG20" s="78" t="str">
        <f>IF(AND($D20&gt;0,AG$6&gt;=$D20,AG$6&lt;=$E20),1,IF(AND($F20&gt;0,AG$6=$F20),"◆",""))</f>
        <v/>
      </c>
      <c r="AH20" s="78" t="str">
        <f>IF(AND($D20&gt;0,AH$6&gt;=$D20,AH$6&lt;=$E20),1,IF(AND($F20&gt;0,AH$6=$F20),"◆",""))</f>
        <v/>
      </c>
      <c r="AI20" s="78" t="str">
        <f>IF(AND($D20&gt;0,AI$6&gt;=$D20,AI$6&lt;=$E20),1,IF(AND($F20&gt;0,AI$6=$F20),"◆",""))</f>
        <v/>
      </c>
      <c r="AJ20" s="78" t="str">
        <f>IF(AND($D20&gt;0,AJ$6&gt;=$D20,AJ$6&lt;=$E20),1,IF(AND($F20&gt;0,AJ$6=$F20),"◆",""))</f>
        <v/>
      </c>
      <c r="AK20" s="78" t="str">
        <f>IF(AND($D20&gt;0,AK$6&gt;=$D20,AK$6&lt;=$E20),1,IF(AND($F20&gt;0,AK$6=$F20),"◆",""))</f>
        <v/>
      </c>
      <c r="AL20" s="78" t="str">
        <f>IF(AND($D20&gt;0,AL$6&gt;=$D20,AL$6&lt;=$E20),1,IF(AND($F20&gt;0,AL$6=$F20),"◆",""))</f>
        <v/>
      </c>
      <c r="AM20" s="78" t="str">
        <f>IF(AND($D20&gt;0,AM$6&gt;=$D20,AM$6&lt;=$E20),1,IF(AND($F20&gt;0,AM$6=$F20),"◆",""))</f>
        <v/>
      </c>
      <c r="AN20" s="78" t="str">
        <f>IF(AND($D20&gt;0,AN$6&gt;=$D20,AN$6&lt;=$E20),1,IF(AND($F20&gt;0,AN$6=$F20),"◆",""))</f>
        <v/>
      </c>
      <c r="AO20" s="78" t="str">
        <f>IF(AND($D20&gt;0,AO$6&gt;=$D20,AO$6&lt;=$E20),1,IF(AND($F20&gt;0,AO$6=$F20),"◆",""))</f>
        <v/>
      </c>
      <c r="AP20" s="78" t="str">
        <f>IF(AND($D20&gt;0,AP$6&gt;=$D20,AP$6&lt;=$E20),1,IF(AND($F20&gt;0,AP$6=$F20),"◆",""))</f>
        <v/>
      </c>
      <c r="AQ20" s="78" t="str">
        <f>IF(AND($D20&gt;0,AQ$6&gt;=$D20,AQ$6&lt;=$E20),1,IF(AND($F20&gt;0,AQ$6=$F20),"◆",""))</f>
        <v/>
      </c>
      <c r="AR20" s="78" t="str">
        <f>IF(AND($D20&gt;0,AR$6&gt;=$D20,AR$6&lt;=$E20),1,IF(AND($F20&gt;0,AR$6=$F20),"◆",""))</f>
        <v/>
      </c>
      <c r="AS20" s="78" t="str">
        <f>IF(AND($D20&gt;0,AS$6&gt;=$D20,AS$6&lt;=$E20),1,IF(AND($F20&gt;0,AS$6=$F20),"◆",""))</f>
        <v/>
      </c>
      <c r="AT20" s="78" t="str">
        <f>IF(AND($D20&gt;0,AT$6&gt;=$D20,AT$6&lt;=$E20),1,IF(AND($F20&gt;0,AT$6=$F20),"◆",""))</f>
        <v/>
      </c>
      <c r="AU20" s="78" t="str">
        <f>IF(AND($D20&gt;0,AU$6&gt;=$D20,AU$6&lt;=$E20),1,IF(AND($F20&gt;0,AU$6=$F20),"◆",""))</f>
        <v/>
      </c>
      <c r="AV20" s="78" t="str">
        <f>IF(AND($D20&gt;0,AV$6&gt;=$D20,AV$6&lt;=$E20),1,IF(AND($F20&gt;0,AV$6=$F20),"◆",""))</f>
        <v/>
      </c>
      <c r="AW20" s="78" t="str">
        <f>IF(AND($D20&gt;0,AW$6&gt;=$D20,AW$6&lt;=$E20),1,IF(AND($F20&gt;0,AW$6=$F20),"◆",""))</f>
        <v/>
      </c>
      <c r="AX20" s="78" t="str">
        <f>IF(AND($D20&gt;0,AX$6&gt;=$D20,AX$6&lt;=$E20),1,IF(AND($F20&gt;0,AX$6=$F20),"◆",""))</f>
        <v/>
      </c>
      <c r="AY20" s="78" t="str">
        <f>IF(AND($D20&gt;0,AY$6&gt;=$D20,AY$6&lt;=$E20),1,IF(AND($F20&gt;0,AY$6=$F20),"◆",""))</f>
        <v/>
      </c>
      <c r="AZ20" s="78" t="str">
        <f>IF(AND($D20&gt;0,AZ$6&gt;=$D20,AZ$6&lt;=$E20),1,IF(AND($F20&gt;0,AZ$6=$F20),"◆",""))</f>
        <v/>
      </c>
      <c r="BA20" s="78" t="str">
        <f>IF(AND($D20&gt;0,BA$6&gt;=$D20,BA$6&lt;=$E20),1,IF(AND($F20&gt;0,BA$6=$F20),"◆",""))</f>
        <v/>
      </c>
      <c r="BB20" s="78" t="str">
        <f>IF(AND($D20&gt;0,BB$6&gt;=$D20,BB$6&lt;=$E20),1,IF(AND($F20&gt;0,BB$6=$F20),"◆",""))</f>
        <v/>
      </c>
      <c r="BC20" s="78" t="str">
        <f>IF(AND($D20&gt;0,BC$6&gt;=$D20,BC$6&lt;=$E20),1,IF(AND($F20&gt;0,BC$6=$F20),"◆",""))</f>
        <v/>
      </c>
      <c r="BD20" s="78" t="str">
        <f>IF(AND($D20&gt;0,BD$6&gt;=$D20,BD$6&lt;=$E20),1,IF(AND($F20&gt;0,BD$6=$F20),"◆",""))</f>
        <v/>
      </c>
      <c r="BE20" s="78" t="str">
        <f>IF(AND($D20&gt;0,BE$6&gt;=$D20,BE$6&lt;=$E20),1,IF(AND($F20&gt;0,BE$6=$F20),"◆",""))</f>
        <v/>
      </c>
      <c r="BF20" s="78" t="str">
        <f>IF(AND($D20&gt;0,BF$6&gt;=$D20,BF$6&lt;=$E20),1,IF(AND($F20&gt;0,BF$6=$F20),"◆",""))</f>
        <v/>
      </c>
      <c r="BG20" s="78" t="str">
        <f>IF(AND($D20&gt;0,BG$6&gt;=$D20,BG$6&lt;=$E20),1,IF(AND($F20&gt;0,BG$6=$F20),"◆",""))</f>
        <v/>
      </c>
      <c r="BH20" s="78" t="str">
        <f>IF(AND($D20&gt;0,BH$6&gt;=$D20,BH$6&lt;=$E20),1,IF(AND($F20&gt;0,BH$6=$F20),"◆",""))</f>
        <v/>
      </c>
      <c r="BI20" s="78" t="str">
        <f>IF(AND($D20&gt;0,BI$6&gt;=$D20,BI$6&lt;=$E20),1,IF(AND($F20&gt;0,BI$6=$F20),"◆",""))</f>
        <v/>
      </c>
      <c r="BJ20" s="78" t="str">
        <f>IF(AND($D20&gt;0,BJ$6&gt;=$D20,BJ$6&lt;=$E20),1,IF(AND($F20&gt;0,BJ$6=$F20),"◆",""))</f>
        <v/>
      </c>
      <c r="BK20" s="78" t="str">
        <f>IF(AND($D20&gt;0,BK$6&gt;=$D20,BK$6&lt;=$E20),1,IF(AND($F20&gt;0,BK$6=$F20),"◆",""))</f>
        <v/>
      </c>
      <c r="BL20" s="78" t="str">
        <f>IF(AND($D20&gt;0,BL$6&gt;=$D20,BL$6&lt;=$E20),1,IF(AND($F20&gt;0,BL$6=$F20),"◆",""))</f>
        <v/>
      </c>
      <c r="BM20" s="78" t="str">
        <f>IF(AND($D20&gt;0,BM$6&gt;=$D20,BM$6&lt;=$E20),1,IF(AND($F20&gt;0,BM$6=$F20),"◆",""))</f>
        <v/>
      </c>
      <c r="BN20" s="78" t="str">
        <f>IF(AND($D20&gt;0,BN$6&gt;=$D20,BN$6&lt;=$E20),1,IF(AND($F20&gt;0,BN$6=$F20),"◆",""))</f>
        <v/>
      </c>
      <c r="BO20" s="78" t="str">
        <f>IF(AND($D20&gt;0,BO$6&gt;=$D20,BO$6&lt;=$E20),1,IF(AND($F20&gt;0,BO$6=$F20),"◆",""))</f>
        <v/>
      </c>
      <c r="BP20" s="78" t="str">
        <f>IF(AND($D20&gt;0,BP$6&gt;=$D20,BP$6&lt;=$E20),1,IF(AND($F20&gt;0,BP$6=$F20),"◆",""))</f>
        <v/>
      </c>
    </row>
    <row r="21">
      <c r="A21" s="75" t="str">
        <f>IF(INDEX(of_ref,15)="","",INDEX(of_num,15)&amp;"")</f>
        <v>OF-2611-015</v>
      </c>
      <c r="B21" s="75" t="str">
        <f>IF(INDEX(of_ref,15)="","",INDEX(of_des,15)&amp;"")</f>
        <v>Support garde-boue plié</v>
      </c>
      <c r="C21" s="76" t="str">
        <f>IF(INDEX(of_ref,15)="","",INDEX(of_poste,15)&amp;"")</f>
        <v>PLIE</v>
      </c>
      <c r="D21" s="77">
        <f>INDEX(of_start,15)</f>
        <v>46337.0</v>
      </c>
      <c r="E21" s="77">
        <f>INDEX(of_end,15)</f>
        <v>46339.0</v>
      </c>
      <c r="F21" s="77">
        <f>IF(N(INDEX(of_need,15))=0,0,INDEX(of_need,15))</f>
        <v>46349.0</v>
      </c>
      <c r="G21" s="76" t="str">
        <f>IF(INDEX(of_ref,15)="","",INDEX(of_etat,15)&amp;"")</f>
        <v>À l'heure</v>
      </c>
      <c r="I21" s="78" t="str">
        <f>IF(AND($D21&gt;0,I$6&gt;=$D21,I$6&lt;=$E21),1,IF(AND($F21&gt;0,I$6=$F21),"◆",""))</f>
        <v/>
      </c>
      <c r="J21" s="78" t="str">
        <f>IF(AND($D21&gt;0,J$6&gt;=$D21,J$6&lt;=$E21),1,IF(AND($F21&gt;0,J$6=$F21),"◆",""))</f>
        <v/>
      </c>
      <c r="K21" s="78" t="str">
        <f>IF(AND($D21&gt;0,K$6&gt;=$D21,K$6&lt;=$E21),1,IF(AND($F21&gt;0,K$6=$F21),"◆",""))</f>
        <v/>
      </c>
      <c r="L21" s="78" t="str">
        <f>IF(AND($D21&gt;0,L$6&gt;=$D21,L$6&lt;=$E21),1,IF(AND($F21&gt;0,L$6=$F21),"◆",""))</f>
        <v/>
      </c>
      <c r="M21" s="78" t="str">
        <f>IF(AND($D21&gt;0,M$6&gt;=$D21,M$6&lt;=$E21),1,IF(AND($F21&gt;0,M$6=$F21),"◆",""))</f>
        <v/>
      </c>
      <c r="N21" s="78" t="str">
        <f>IF(AND($D21&gt;0,N$6&gt;=$D21,N$6&lt;=$E21),1,IF(AND($F21&gt;0,N$6=$F21),"◆",""))</f>
        <v/>
      </c>
      <c r="O21" s="78">
        <f>IF(AND($D21&gt;0,O$6&gt;=$D21,O$6&lt;=$E21),1,IF(AND($F21&gt;0,O$6=$F21),"◆",""))</f>
        <v>1.0</v>
      </c>
      <c r="P21" s="78">
        <f>IF(AND($D21&gt;0,P$6&gt;=$D21,P$6&lt;=$E21),1,IF(AND($F21&gt;0,P$6=$F21),"◆",""))</f>
        <v>1.0</v>
      </c>
      <c r="Q21" s="78">
        <f>IF(AND($D21&gt;0,Q$6&gt;=$D21,Q$6&lt;=$E21),1,IF(AND($F21&gt;0,Q$6=$F21),"◆",""))</f>
        <v>1.0</v>
      </c>
      <c r="R21" s="78" t="str">
        <f>IF(AND($D21&gt;0,R$6&gt;=$D21,R$6&lt;=$E21),1,IF(AND($F21&gt;0,R$6=$F21),"◆",""))</f>
        <v/>
      </c>
      <c r="S21" s="78" t="str">
        <f>IF(AND($D21&gt;0,S$6&gt;=$D21,S$6&lt;=$E21),1,IF(AND($F21&gt;0,S$6=$F21),"◆",""))</f>
        <v/>
      </c>
      <c r="T21" s="78" t="str">
        <f>IF(AND($D21&gt;0,T$6&gt;=$D21,T$6&lt;=$E21),1,IF(AND($F21&gt;0,T$6=$F21),"◆",""))</f>
        <v/>
      </c>
      <c r="U21" s="78" t="str">
        <f>IF(AND($D21&gt;0,U$6&gt;=$D21,U$6&lt;=$E21),1,IF(AND($F21&gt;0,U$6=$F21),"◆",""))</f>
        <v/>
      </c>
      <c r="V21" s="78" t="str">
        <f>IF(AND($D21&gt;0,V$6&gt;=$D21,V$6&lt;=$E21),1,IF(AND($F21&gt;0,V$6=$F21),"◆",""))</f>
        <v>◆</v>
      </c>
      <c r="W21" s="78" t="str">
        <f>IF(AND($D21&gt;0,W$6&gt;=$D21,W$6&lt;=$E21),1,IF(AND($F21&gt;0,W$6=$F21),"◆",""))</f>
        <v/>
      </c>
      <c r="X21" s="78" t="str">
        <f>IF(AND($D21&gt;0,X$6&gt;=$D21,X$6&lt;=$E21),1,IF(AND($F21&gt;0,X$6=$F21),"◆",""))</f>
        <v/>
      </c>
      <c r="Y21" s="78" t="str">
        <f>IF(AND($D21&gt;0,Y$6&gt;=$D21,Y$6&lt;=$E21),1,IF(AND($F21&gt;0,Y$6=$F21),"◆",""))</f>
        <v/>
      </c>
      <c r="Z21" s="78" t="str">
        <f>IF(AND($D21&gt;0,Z$6&gt;=$D21,Z$6&lt;=$E21),1,IF(AND($F21&gt;0,Z$6=$F21),"◆",""))</f>
        <v/>
      </c>
      <c r="AA21" s="78" t="str">
        <f>IF(AND($D21&gt;0,AA$6&gt;=$D21,AA$6&lt;=$E21),1,IF(AND($F21&gt;0,AA$6=$F21),"◆",""))</f>
        <v/>
      </c>
      <c r="AB21" s="78" t="str">
        <f>IF(AND($D21&gt;0,AB$6&gt;=$D21,AB$6&lt;=$E21),1,IF(AND($F21&gt;0,AB$6=$F21),"◆",""))</f>
        <v/>
      </c>
      <c r="AC21" s="78" t="str">
        <f>IF(AND($D21&gt;0,AC$6&gt;=$D21,AC$6&lt;=$E21),1,IF(AND($F21&gt;0,AC$6=$F21),"◆",""))</f>
        <v/>
      </c>
      <c r="AD21" s="78" t="str">
        <f>IF(AND($D21&gt;0,AD$6&gt;=$D21,AD$6&lt;=$E21),1,IF(AND($F21&gt;0,AD$6=$F21),"◆",""))</f>
        <v/>
      </c>
      <c r="AE21" s="78" t="str">
        <f>IF(AND($D21&gt;0,AE$6&gt;=$D21,AE$6&lt;=$E21),1,IF(AND($F21&gt;0,AE$6=$F21),"◆",""))</f>
        <v/>
      </c>
      <c r="AF21" s="78" t="str">
        <f>IF(AND($D21&gt;0,AF$6&gt;=$D21,AF$6&lt;=$E21),1,IF(AND($F21&gt;0,AF$6=$F21),"◆",""))</f>
        <v/>
      </c>
      <c r="AG21" s="78" t="str">
        <f>IF(AND($D21&gt;0,AG$6&gt;=$D21,AG$6&lt;=$E21),1,IF(AND($F21&gt;0,AG$6=$F21),"◆",""))</f>
        <v/>
      </c>
      <c r="AH21" s="78" t="str">
        <f>IF(AND($D21&gt;0,AH$6&gt;=$D21,AH$6&lt;=$E21),1,IF(AND($F21&gt;0,AH$6=$F21),"◆",""))</f>
        <v/>
      </c>
      <c r="AI21" s="78" t="str">
        <f>IF(AND($D21&gt;0,AI$6&gt;=$D21,AI$6&lt;=$E21),1,IF(AND($F21&gt;0,AI$6=$F21),"◆",""))</f>
        <v/>
      </c>
      <c r="AJ21" s="78" t="str">
        <f>IF(AND($D21&gt;0,AJ$6&gt;=$D21,AJ$6&lt;=$E21),1,IF(AND($F21&gt;0,AJ$6=$F21),"◆",""))</f>
        <v/>
      </c>
      <c r="AK21" s="78" t="str">
        <f>IF(AND($D21&gt;0,AK$6&gt;=$D21,AK$6&lt;=$E21),1,IF(AND($F21&gt;0,AK$6=$F21),"◆",""))</f>
        <v/>
      </c>
      <c r="AL21" s="78" t="str">
        <f>IF(AND($D21&gt;0,AL$6&gt;=$D21,AL$6&lt;=$E21),1,IF(AND($F21&gt;0,AL$6=$F21),"◆",""))</f>
        <v/>
      </c>
      <c r="AM21" s="78" t="str">
        <f>IF(AND($D21&gt;0,AM$6&gt;=$D21,AM$6&lt;=$E21),1,IF(AND($F21&gt;0,AM$6=$F21),"◆",""))</f>
        <v/>
      </c>
      <c r="AN21" s="78" t="str">
        <f>IF(AND($D21&gt;0,AN$6&gt;=$D21,AN$6&lt;=$E21),1,IF(AND($F21&gt;0,AN$6=$F21),"◆",""))</f>
        <v/>
      </c>
      <c r="AO21" s="78" t="str">
        <f>IF(AND($D21&gt;0,AO$6&gt;=$D21,AO$6&lt;=$E21),1,IF(AND($F21&gt;0,AO$6=$F21),"◆",""))</f>
        <v/>
      </c>
      <c r="AP21" s="78" t="str">
        <f>IF(AND($D21&gt;0,AP$6&gt;=$D21,AP$6&lt;=$E21),1,IF(AND($F21&gt;0,AP$6=$F21),"◆",""))</f>
        <v/>
      </c>
      <c r="AQ21" s="78" t="str">
        <f>IF(AND($D21&gt;0,AQ$6&gt;=$D21,AQ$6&lt;=$E21),1,IF(AND($F21&gt;0,AQ$6=$F21),"◆",""))</f>
        <v/>
      </c>
      <c r="AR21" s="78" t="str">
        <f>IF(AND($D21&gt;0,AR$6&gt;=$D21,AR$6&lt;=$E21),1,IF(AND($F21&gt;0,AR$6=$F21),"◆",""))</f>
        <v/>
      </c>
      <c r="AS21" s="78" t="str">
        <f>IF(AND($D21&gt;0,AS$6&gt;=$D21,AS$6&lt;=$E21),1,IF(AND($F21&gt;0,AS$6=$F21),"◆",""))</f>
        <v/>
      </c>
      <c r="AT21" s="78" t="str">
        <f>IF(AND($D21&gt;0,AT$6&gt;=$D21,AT$6&lt;=$E21),1,IF(AND($F21&gt;0,AT$6=$F21),"◆",""))</f>
        <v/>
      </c>
      <c r="AU21" s="78" t="str">
        <f>IF(AND($D21&gt;0,AU$6&gt;=$D21,AU$6&lt;=$E21),1,IF(AND($F21&gt;0,AU$6=$F21),"◆",""))</f>
        <v/>
      </c>
      <c r="AV21" s="78" t="str">
        <f>IF(AND($D21&gt;0,AV$6&gt;=$D21,AV$6&lt;=$E21),1,IF(AND($F21&gt;0,AV$6=$F21),"◆",""))</f>
        <v/>
      </c>
      <c r="AW21" s="78" t="str">
        <f>IF(AND($D21&gt;0,AW$6&gt;=$D21,AW$6&lt;=$E21),1,IF(AND($F21&gt;0,AW$6=$F21),"◆",""))</f>
        <v/>
      </c>
      <c r="AX21" s="78" t="str">
        <f>IF(AND($D21&gt;0,AX$6&gt;=$D21,AX$6&lt;=$E21),1,IF(AND($F21&gt;0,AX$6=$F21),"◆",""))</f>
        <v/>
      </c>
      <c r="AY21" s="78" t="str">
        <f>IF(AND($D21&gt;0,AY$6&gt;=$D21,AY$6&lt;=$E21),1,IF(AND($F21&gt;0,AY$6=$F21),"◆",""))</f>
        <v/>
      </c>
      <c r="AZ21" s="78" t="str">
        <f>IF(AND($D21&gt;0,AZ$6&gt;=$D21,AZ$6&lt;=$E21),1,IF(AND($F21&gt;0,AZ$6=$F21),"◆",""))</f>
        <v/>
      </c>
      <c r="BA21" s="78" t="str">
        <f>IF(AND($D21&gt;0,BA$6&gt;=$D21,BA$6&lt;=$E21),1,IF(AND($F21&gt;0,BA$6=$F21),"◆",""))</f>
        <v/>
      </c>
      <c r="BB21" s="78" t="str">
        <f>IF(AND($D21&gt;0,BB$6&gt;=$D21,BB$6&lt;=$E21),1,IF(AND($F21&gt;0,BB$6=$F21),"◆",""))</f>
        <v/>
      </c>
      <c r="BC21" s="78" t="str">
        <f>IF(AND($D21&gt;0,BC$6&gt;=$D21,BC$6&lt;=$E21),1,IF(AND($F21&gt;0,BC$6=$F21),"◆",""))</f>
        <v/>
      </c>
      <c r="BD21" s="78" t="str">
        <f>IF(AND($D21&gt;0,BD$6&gt;=$D21,BD$6&lt;=$E21),1,IF(AND($F21&gt;0,BD$6=$F21),"◆",""))</f>
        <v/>
      </c>
      <c r="BE21" s="78" t="str">
        <f>IF(AND($D21&gt;0,BE$6&gt;=$D21,BE$6&lt;=$E21),1,IF(AND($F21&gt;0,BE$6=$F21),"◆",""))</f>
        <v/>
      </c>
      <c r="BF21" s="78" t="str">
        <f>IF(AND($D21&gt;0,BF$6&gt;=$D21,BF$6&lt;=$E21),1,IF(AND($F21&gt;0,BF$6=$F21),"◆",""))</f>
        <v/>
      </c>
      <c r="BG21" s="78" t="str">
        <f>IF(AND($D21&gt;0,BG$6&gt;=$D21,BG$6&lt;=$E21),1,IF(AND($F21&gt;0,BG$6=$F21),"◆",""))</f>
        <v/>
      </c>
      <c r="BH21" s="78" t="str">
        <f>IF(AND($D21&gt;0,BH$6&gt;=$D21,BH$6&lt;=$E21),1,IF(AND($F21&gt;0,BH$6=$F21),"◆",""))</f>
        <v/>
      </c>
      <c r="BI21" s="78" t="str">
        <f>IF(AND($D21&gt;0,BI$6&gt;=$D21,BI$6&lt;=$E21),1,IF(AND($F21&gt;0,BI$6=$F21),"◆",""))</f>
        <v/>
      </c>
      <c r="BJ21" s="78" t="str">
        <f>IF(AND($D21&gt;0,BJ$6&gt;=$D21,BJ$6&lt;=$E21),1,IF(AND($F21&gt;0,BJ$6=$F21),"◆",""))</f>
        <v/>
      </c>
      <c r="BK21" s="78" t="str">
        <f>IF(AND($D21&gt;0,BK$6&gt;=$D21,BK$6&lt;=$E21),1,IF(AND($F21&gt;0,BK$6=$F21),"◆",""))</f>
        <v/>
      </c>
      <c r="BL21" s="78" t="str">
        <f>IF(AND($D21&gt;0,BL$6&gt;=$D21,BL$6&lt;=$E21),1,IF(AND($F21&gt;0,BL$6=$F21),"◆",""))</f>
        <v/>
      </c>
      <c r="BM21" s="78" t="str">
        <f>IF(AND($D21&gt;0,BM$6&gt;=$D21,BM$6&lt;=$E21),1,IF(AND($F21&gt;0,BM$6=$F21),"◆",""))</f>
        <v/>
      </c>
      <c r="BN21" s="78" t="str">
        <f>IF(AND($D21&gt;0,BN$6&gt;=$D21,BN$6&lt;=$E21),1,IF(AND($F21&gt;0,BN$6=$F21),"◆",""))</f>
        <v/>
      </c>
      <c r="BO21" s="78" t="str">
        <f>IF(AND($D21&gt;0,BO$6&gt;=$D21,BO$6&lt;=$E21),1,IF(AND($F21&gt;0,BO$6=$F21),"◆",""))</f>
        <v/>
      </c>
      <c r="BP21" s="78" t="str">
        <f>IF(AND($D21&gt;0,BP$6&gt;=$D21,BP$6&lt;=$E21),1,IF(AND($F21&gt;0,BP$6=$F21),"◆",""))</f>
        <v/>
      </c>
    </row>
    <row r="22">
      <c r="A22" s="75" t="str">
        <f>IF(INDEX(of_ref,16)="","",INDEX(of_num,16)&amp;"")</f>
        <v>OF-2611-016</v>
      </c>
      <c r="B22" s="75" t="str">
        <f>IF(INDEX(of_ref,16)="","",INDEX(of_des,16)&amp;"")</f>
        <v>Flasque usinée 150</v>
      </c>
      <c r="C22" s="76" t="str">
        <f>IF(INDEX(of_ref,16)="","",INDEX(of_poste,16)&amp;"")</f>
        <v>FRAIS</v>
      </c>
      <c r="D22" s="77">
        <f>INDEX(of_start,16)</f>
        <v>46339.0</v>
      </c>
      <c r="E22" s="77">
        <f>INDEX(of_end,16)</f>
        <v>46342.0</v>
      </c>
      <c r="F22" s="77">
        <f>IF(N(INDEX(of_need,16))=0,0,INDEX(of_need,16))</f>
        <v>46350.0</v>
      </c>
      <c r="G22" s="76" t="str">
        <f>IF(INDEX(of_ref,16)="","",INDEX(of_etat,16)&amp;"")</f>
        <v>À l'heure</v>
      </c>
      <c r="I22" s="78" t="str">
        <f>IF(AND($D22&gt;0,I$6&gt;=$D22,I$6&lt;=$E22),1,IF(AND($F22&gt;0,I$6=$F22),"◆",""))</f>
        <v/>
      </c>
      <c r="J22" s="78" t="str">
        <f>IF(AND($D22&gt;0,J$6&gt;=$D22,J$6&lt;=$E22),1,IF(AND($F22&gt;0,J$6=$F22),"◆",""))</f>
        <v/>
      </c>
      <c r="K22" s="78" t="str">
        <f>IF(AND($D22&gt;0,K$6&gt;=$D22,K$6&lt;=$E22),1,IF(AND($F22&gt;0,K$6=$F22),"◆",""))</f>
        <v/>
      </c>
      <c r="L22" s="78" t="str">
        <f>IF(AND($D22&gt;0,L$6&gt;=$D22,L$6&lt;=$E22),1,IF(AND($F22&gt;0,L$6=$F22),"◆",""))</f>
        <v/>
      </c>
      <c r="M22" s="78" t="str">
        <f>IF(AND($D22&gt;0,M$6&gt;=$D22,M$6&lt;=$E22),1,IF(AND($F22&gt;0,M$6=$F22),"◆",""))</f>
        <v/>
      </c>
      <c r="N22" s="78" t="str">
        <f>IF(AND($D22&gt;0,N$6&gt;=$D22,N$6&lt;=$E22),1,IF(AND($F22&gt;0,N$6=$F22),"◆",""))</f>
        <v/>
      </c>
      <c r="O22" s="78" t="str">
        <f>IF(AND($D22&gt;0,O$6&gt;=$D22,O$6&lt;=$E22),1,IF(AND($F22&gt;0,O$6=$F22),"◆",""))</f>
        <v/>
      </c>
      <c r="P22" s="78" t="str">
        <f>IF(AND($D22&gt;0,P$6&gt;=$D22,P$6&lt;=$E22),1,IF(AND($F22&gt;0,P$6=$F22),"◆",""))</f>
        <v/>
      </c>
      <c r="Q22" s="78">
        <f>IF(AND($D22&gt;0,Q$6&gt;=$D22,Q$6&lt;=$E22),1,IF(AND($F22&gt;0,Q$6=$F22),"◆",""))</f>
        <v>1.0</v>
      </c>
      <c r="R22" s="78">
        <f>IF(AND($D22&gt;0,R$6&gt;=$D22,R$6&lt;=$E22),1,IF(AND($F22&gt;0,R$6=$F22),"◆",""))</f>
        <v>1.0</v>
      </c>
      <c r="S22" s="78" t="str">
        <f>IF(AND($D22&gt;0,S$6&gt;=$D22,S$6&lt;=$E22),1,IF(AND($F22&gt;0,S$6=$F22),"◆",""))</f>
        <v/>
      </c>
      <c r="T22" s="78" t="str">
        <f>IF(AND($D22&gt;0,T$6&gt;=$D22,T$6&lt;=$E22),1,IF(AND($F22&gt;0,T$6=$F22),"◆",""))</f>
        <v/>
      </c>
      <c r="U22" s="78" t="str">
        <f>IF(AND($D22&gt;0,U$6&gt;=$D22,U$6&lt;=$E22),1,IF(AND($F22&gt;0,U$6=$F22),"◆",""))</f>
        <v/>
      </c>
      <c r="V22" s="78" t="str">
        <f>IF(AND($D22&gt;0,V$6&gt;=$D22,V$6&lt;=$E22),1,IF(AND($F22&gt;0,V$6=$F22),"◆",""))</f>
        <v/>
      </c>
      <c r="W22" s="78" t="str">
        <f>IF(AND($D22&gt;0,W$6&gt;=$D22,W$6&lt;=$E22),1,IF(AND($F22&gt;0,W$6=$F22),"◆",""))</f>
        <v>◆</v>
      </c>
      <c r="X22" s="78" t="str">
        <f>IF(AND($D22&gt;0,X$6&gt;=$D22,X$6&lt;=$E22),1,IF(AND($F22&gt;0,X$6=$F22),"◆",""))</f>
        <v/>
      </c>
      <c r="Y22" s="78" t="str">
        <f>IF(AND($D22&gt;0,Y$6&gt;=$D22,Y$6&lt;=$E22),1,IF(AND($F22&gt;0,Y$6=$F22),"◆",""))</f>
        <v/>
      </c>
      <c r="Z22" s="78" t="str">
        <f>IF(AND($D22&gt;0,Z$6&gt;=$D22,Z$6&lt;=$E22),1,IF(AND($F22&gt;0,Z$6=$F22),"◆",""))</f>
        <v/>
      </c>
      <c r="AA22" s="78" t="str">
        <f>IF(AND($D22&gt;0,AA$6&gt;=$D22,AA$6&lt;=$E22),1,IF(AND($F22&gt;0,AA$6=$F22),"◆",""))</f>
        <v/>
      </c>
      <c r="AB22" s="78" t="str">
        <f>IF(AND($D22&gt;0,AB$6&gt;=$D22,AB$6&lt;=$E22),1,IF(AND($F22&gt;0,AB$6=$F22),"◆",""))</f>
        <v/>
      </c>
      <c r="AC22" s="78" t="str">
        <f>IF(AND($D22&gt;0,AC$6&gt;=$D22,AC$6&lt;=$E22),1,IF(AND($F22&gt;0,AC$6=$F22),"◆",""))</f>
        <v/>
      </c>
      <c r="AD22" s="78" t="str">
        <f>IF(AND($D22&gt;0,AD$6&gt;=$D22,AD$6&lt;=$E22),1,IF(AND($F22&gt;0,AD$6=$F22),"◆",""))</f>
        <v/>
      </c>
      <c r="AE22" s="78" t="str">
        <f>IF(AND($D22&gt;0,AE$6&gt;=$D22,AE$6&lt;=$E22),1,IF(AND($F22&gt;0,AE$6=$F22),"◆",""))</f>
        <v/>
      </c>
      <c r="AF22" s="78" t="str">
        <f>IF(AND($D22&gt;0,AF$6&gt;=$D22,AF$6&lt;=$E22),1,IF(AND($F22&gt;0,AF$6=$F22),"◆",""))</f>
        <v/>
      </c>
      <c r="AG22" s="78" t="str">
        <f>IF(AND($D22&gt;0,AG$6&gt;=$D22,AG$6&lt;=$E22),1,IF(AND($F22&gt;0,AG$6=$F22),"◆",""))</f>
        <v/>
      </c>
      <c r="AH22" s="78" t="str">
        <f>IF(AND($D22&gt;0,AH$6&gt;=$D22,AH$6&lt;=$E22),1,IF(AND($F22&gt;0,AH$6=$F22),"◆",""))</f>
        <v/>
      </c>
      <c r="AI22" s="78" t="str">
        <f>IF(AND($D22&gt;0,AI$6&gt;=$D22,AI$6&lt;=$E22),1,IF(AND($F22&gt;0,AI$6=$F22),"◆",""))</f>
        <v/>
      </c>
      <c r="AJ22" s="78" t="str">
        <f>IF(AND($D22&gt;0,AJ$6&gt;=$D22,AJ$6&lt;=$E22),1,IF(AND($F22&gt;0,AJ$6=$F22),"◆",""))</f>
        <v/>
      </c>
      <c r="AK22" s="78" t="str">
        <f>IF(AND($D22&gt;0,AK$6&gt;=$D22,AK$6&lt;=$E22),1,IF(AND($F22&gt;0,AK$6=$F22),"◆",""))</f>
        <v/>
      </c>
      <c r="AL22" s="78" t="str">
        <f>IF(AND($D22&gt;0,AL$6&gt;=$D22,AL$6&lt;=$E22),1,IF(AND($F22&gt;0,AL$6=$F22),"◆",""))</f>
        <v/>
      </c>
      <c r="AM22" s="78" t="str">
        <f>IF(AND($D22&gt;0,AM$6&gt;=$D22,AM$6&lt;=$E22),1,IF(AND($F22&gt;0,AM$6=$F22),"◆",""))</f>
        <v/>
      </c>
      <c r="AN22" s="78" t="str">
        <f>IF(AND($D22&gt;0,AN$6&gt;=$D22,AN$6&lt;=$E22),1,IF(AND($F22&gt;0,AN$6=$F22),"◆",""))</f>
        <v/>
      </c>
      <c r="AO22" s="78" t="str">
        <f>IF(AND($D22&gt;0,AO$6&gt;=$D22,AO$6&lt;=$E22),1,IF(AND($F22&gt;0,AO$6=$F22),"◆",""))</f>
        <v/>
      </c>
      <c r="AP22" s="78" t="str">
        <f>IF(AND($D22&gt;0,AP$6&gt;=$D22,AP$6&lt;=$E22),1,IF(AND($F22&gt;0,AP$6=$F22),"◆",""))</f>
        <v/>
      </c>
      <c r="AQ22" s="78" t="str">
        <f>IF(AND($D22&gt;0,AQ$6&gt;=$D22,AQ$6&lt;=$E22),1,IF(AND($F22&gt;0,AQ$6=$F22),"◆",""))</f>
        <v/>
      </c>
      <c r="AR22" s="78" t="str">
        <f>IF(AND($D22&gt;0,AR$6&gt;=$D22,AR$6&lt;=$E22),1,IF(AND($F22&gt;0,AR$6=$F22),"◆",""))</f>
        <v/>
      </c>
      <c r="AS22" s="78" t="str">
        <f>IF(AND($D22&gt;0,AS$6&gt;=$D22,AS$6&lt;=$E22),1,IF(AND($F22&gt;0,AS$6=$F22),"◆",""))</f>
        <v/>
      </c>
      <c r="AT22" s="78" t="str">
        <f>IF(AND($D22&gt;0,AT$6&gt;=$D22,AT$6&lt;=$E22),1,IF(AND($F22&gt;0,AT$6=$F22),"◆",""))</f>
        <v/>
      </c>
      <c r="AU22" s="78" t="str">
        <f>IF(AND($D22&gt;0,AU$6&gt;=$D22,AU$6&lt;=$E22),1,IF(AND($F22&gt;0,AU$6=$F22),"◆",""))</f>
        <v/>
      </c>
      <c r="AV22" s="78" t="str">
        <f>IF(AND($D22&gt;0,AV$6&gt;=$D22,AV$6&lt;=$E22),1,IF(AND($F22&gt;0,AV$6=$F22),"◆",""))</f>
        <v/>
      </c>
      <c r="AW22" s="78" t="str">
        <f>IF(AND($D22&gt;0,AW$6&gt;=$D22,AW$6&lt;=$E22),1,IF(AND($F22&gt;0,AW$6=$F22),"◆",""))</f>
        <v/>
      </c>
      <c r="AX22" s="78" t="str">
        <f>IF(AND($D22&gt;0,AX$6&gt;=$D22,AX$6&lt;=$E22),1,IF(AND($F22&gt;0,AX$6=$F22),"◆",""))</f>
        <v/>
      </c>
      <c r="AY22" s="78" t="str">
        <f>IF(AND($D22&gt;0,AY$6&gt;=$D22,AY$6&lt;=$E22),1,IF(AND($F22&gt;0,AY$6=$F22),"◆",""))</f>
        <v/>
      </c>
      <c r="AZ22" s="78" t="str">
        <f>IF(AND($D22&gt;0,AZ$6&gt;=$D22,AZ$6&lt;=$E22),1,IF(AND($F22&gt;0,AZ$6=$F22),"◆",""))</f>
        <v/>
      </c>
      <c r="BA22" s="78" t="str">
        <f>IF(AND($D22&gt;0,BA$6&gt;=$D22,BA$6&lt;=$E22),1,IF(AND($F22&gt;0,BA$6=$F22),"◆",""))</f>
        <v/>
      </c>
      <c r="BB22" s="78" t="str">
        <f>IF(AND($D22&gt;0,BB$6&gt;=$D22,BB$6&lt;=$E22),1,IF(AND($F22&gt;0,BB$6=$F22),"◆",""))</f>
        <v/>
      </c>
      <c r="BC22" s="78" t="str">
        <f>IF(AND($D22&gt;0,BC$6&gt;=$D22,BC$6&lt;=$E22),1,IF(AND($F22&gt;0,BC$6=$F22),"◆",""))</f>
        <v/>
      </c>
      <c r="BD22" s="78" t="str">
        <f>IF(AND($D22&gt;0,BD$6&gt;=$D22,BD$6&lt;=$E22),1,IF(AND($F22&gt;0,BD$6=$F22),"◆",""))</f>
        <v/>
      </c>
      <c r="BE22" s="78" t="str">
        <f>IF(AND($D22&gt;0,BE$6&gt;=$D22,BE$6&lt;=$E22),1,IF(AND($F22&gt;0,BE$6=$F22),"◆",""))</f>
        <v/>
      </c>
      <c r="BF22" s="78" t="str">
        <f>IF(AND($D22&gt;0,BF$6&gt;=$D22,BF$6&lt;=$E22),1,IF(AND($F22&gt;0,BF$6=$F22),"◆",""))</f>
        <v/>
      </c>
      <c r="BG22" s="78" t="str">
        <f>IF(AND($D22&gt;0,BG$6&gt;=$D22,BG$6&lt;=$E22),1,IF(AND($F22&gt;0,BG$6=$F22),"◆",""))</f>
        <v/>
      </c>
      <c r="BH22" s="78" t="str">
        <f>IF(AND($D22&gt;0,BH$6&gt;=$D22,BH$6&lt;=$E22),1,IF(AND($F22&gt;0,BH$6=$F22),"◆",""))</f>
        <v/>
      </c>
      <c r="BI22" s="78" t="str">
        <f>IF(AND($D22&gt;0,BI$6&gt;=$D22,BI$6&lt;=$E22),1,IF(AND($F22&gt;0,BI$6=$F22),"◆",""))</f>
        <v/>
      </c>
      <c r="BJ22" s="78" t="str">
        <f>IF(AND($D22&gt;0,BJ$6&gt;=$D22,BJ$6&lt;=$E22),1,IF(AND($F22&gt;0,BJ$6=$F22),"◆",""))</f>
        <v/>
      </c>
      <c r="BK22" s="78" t="str">
        <f>IF(AND($D22&gt;0,BK$6&gt;=$D22,BK$6&lt;=$E22),1,IF(AND($F22&gt;0,BK$6=$F22),"◆",""))</f>
        <v/>
      </c>
      <c r="BL22" s="78" t="str">
        <f>IF(AND($D22&gt;0,BL$6&gt;=$D22,BL$6&lt;=$E22),1,IF(AND($F22&gt;0,BL$6=$F22),"◆",""))</f>
        <v/>
      </c>
      <c r="BM22" s="78" t="str">
        <f>IF(AND($D22&gt;0,BM$6&gt;=$D22,BM$6&lt;=$E22),1,IF(AND($F22&gt;0,BM$6=$F22),"◆",""))</f>
        <v/>
      </c>
      <c r="BN22" s="78" t="str">
        <f>IF(AND($D22&gt;0,BN$6&gt;=$D22,BN$6&lt;=$E22),1,IF(AND($F22&gt;0,BN$6=$F22),"◆",""))</f>
        <v/>
      </c>
      <c r="BO22" s="78" t="str">
        <f>IF(AND($D22&gt;0,BO$6&gt;=$D22,BO$6&lt;=$E22),1,IF(AND($F22&gt;0,BO$6=$F22),"◆",""))</f>
        <v/>
      </c>
      <c r="BP22" s="78" t="str">
        <f>IF(AND($D22&gt;0,BP$6&gt;=$D22,BP$6&lt;=$E22),1,IF(AND($F22&gt;0,BP$6=$F22),"◆",""))</f>
        <v/>
      </c>
    </row>
    <row r="23">
      <c r="A23" s="75" t="str">
        <f>IF(INDEX(of_ref,17)="","",INDEX(of_num,17)&amp;"")</f>
        <v>OF-2611-017</v>
      </c>
      <c r="B23" s="75" t="str">
        <f>IF(INDEX(of_ref,17)="","",INDEX(of_des,17)&amp;"")</f>
        <v>Tube cadre 40x40 coupé</v>
      </c>
      <c r="C23" s="76" t="str">
        <f>IF(INDEX(of_ref,17)="","",INDEX(of_poste,17)&amp;"")</f>
        <v>SCIE</v>
      </c>
      <c r="D23" s="77">
        <f>INDEX(of_start,17)</f>
        <v>46330.0</v>
      </c>
      <c r="E23" s="77">
        <f>INDEX(of_end,17)</f>
        <v>46335.0</v>
      </c>
      <c r="F23" s="77">
        <f>IF(N(INDEX(of_need,17))=0,0,INDEX(of_need,17))</f>
        <v>46352.0</v>
      </c>
      <c r="G23" s="76" t="str">
        <f>IF(INDEX(of_ref,17)="","",INDEX(of_etat,17)&amp;"")</f>
        <v>À l'heure</v>
      </c>
      <c r="I23" s="78" t="str">
        <f>IF(AND($D23&gt;0,I$6&gt;=$D23,I$6&lt;=$E23),1,IF(AND($F23&gt;0,I$6=$F23),"◆",""))</f>
        <v/>
      </c>
      <c r="J23" s="78" t="str">
        <f>IF(AND($D23&gt;0,J$6&gt;=$D23,J$6&lt;=$E23),1,IF(AND($F23&gt;0,J$6=$F23),"◆",""))</f>
        <v/>
      </c>
      <c r="K23" s="78">
        <f>IF(AND($D23&gt;0,K$6&gt;=$D23,K$6&lt;=$E23),1,IF(AND($F23&gt;0,K$6=$F23),"◆",""))</f>
        <v>1.0</v>
      </c>
      <c r="L23" s="78">
        <f>IF(AND($D23&gt;0,L$6&gt;=$D23,L$6&lt;=$E23),1,IF(AND($F23&gt;0,L$6=$F23),"◆",""))</f>
        <v>1.0</v>
      </c>
      <c r="M23" s="78">
        <f>IF(AND($D23&gt;0,M$6&gt;=$D23,M$6&lt;=$E23),1,IF(AND($F23&gt;0,M$6=$F23),"◆",""))</f>
        <v>1.0</v>
      </c>
      <c r="N23" s="78" t="str">
        <f>IF(AND($D23&gt;0,N$6&gt;=$D23,N$6&lt;=$E23),1,IF(AND($F23&gt;0,N$6=$F23),"◆",""))</f>
        <v/>
      </c>
      <c r="O23" s="78" t="str">
        <f>IF(AND($D23&gt;0,O$6&gt;=$D23,O$6&lt;=$E23),1,IF(AND($F23&gt;0,O$6=$F23),"◆",""))</f>
        <v/>
      </c>
      <c r="P23" s="78" t="str">
        <f>IF(AND($D23&gt;0,P$6&gt;=$D23,P$6&lt;=$E23),1,IF(AND($F23&gt;0,P$6=$F23),"◆",""))</f>
        <v/>
      </c>
      <c r="Q23" s="78" t="str">
        <f>IF(AND($D23&gt;0,Q$6&gt;=$D23,Q$6&lt;=$E23),1,IF(AND($F23&gt;0,Q$6=$F23),"◆",""))</f>
        <v/>
      </c>
      <c r="R23" s="78" t="str">
        <f>IF(AND($D23&gt;0,R$6&gt;=$D23,R$6&lt;=$E23),1,IF(AND($F23&gt;0,R$6=$F23),"◆",""))</f>
        <v/>
      </c>
      <c r="S23" s="78" t="str">
        <f>IF(AND($D23&gt;0,S$6&gt;=$D23,S$6&lt;=$E23),1,IF(AND($F23&gt;0,S$6=$F23),"◆",""))</f>
        <v/>
      </c>
      <c r="T23" s="78" t="str">
        <f>IF(AND($D23&gt;0,T$6&gt;=$D23,T$6&lt;=$E23),1,IF(AND($F23&gt;0,T$6=$F23),"◆",""))</f>
        <v/>
      </c>
      <c r="U23" s="78" t="str">
        <f>IF(AND($D23&gt;0,U$6&gt;=$D23,U$6&lt;=$E23),1,IF(AND($F23&gt;0,U$6=$F23),"◆",""))</f>
        <v/>
      </c>
      <c r="V23" s="78" t="str">
        <f>IF(AND($D23&gt;0,V$6&gt;=$D23,V$6&lt;=$E23),1,IF(AND($F23&gt;0,V$6=$F23),"◆",""))</f>
        <v/>
      </c>
      <c r="W23" s="78" t="str">
        <f>IF(AND($D23&gt;0,W$6&gt;=$D23,W$6&lt;=$E23),1,IF(AND($F23&gt;0,W$6=$F23),"◆",""))</f>
        <v/>
      </c>
      <c r="X23" s="78" t="str">
        <f>IF(AND($D23&gt;0,X$6&gt;=$D23,X$6&lt;=$E23),1,IF(AND($F23&gt;0,X$6=$F23),"◆",""))</f>
        <v/>
      </c>
      <c r="Y23" s="78" t="str">
        <f>IF(AND($D23&gt;0,Y$6&gt;=$D23,Y$6&lt;=$E23),1,IF(AND($F23&gt;0,Y$6=$F23),"◆",""))</f>
        <v>◆</v>
      </c>
      <c r="Z23" s="78" t="str">
        <f>IF(AND($D23&gt;0,Z$6&gt;=$D23,Z$6&lt;=$E23),1,IF(AND($F23&gt;0,Z$6=$F23),"◆",""))</f>
        <v/>
      </c>
      <c r="AA23" s="78" t="str">
        <f>IF(AND($D23&gt;0,AA$6&gt;=$D23,AA$6&lt;=$E23),1,IF(AND($F23&gt;0,AA$6=$F23),"◆",""))</f>
        <v/>
      </c>
      <c r="AB23" s="78" t="str">
        <f>IF(AND($D23&gt;0,AB$6&gt;=$D23,AB$6&lt;=$E23),1,IF(AND($F23&gt;0,AB$6=$F23),"◆",""))</f>
        <v/>
      </c>
      <c r="AC23" s="78" t="str">
        <f>IF(AND($D23&gt;0,AC$6&gt;=$D23,AC$6&lt;=$E23),1,IF(AND($F23&gt;0,AC$6=$F23),"◆",""))</f>
        <v/>
      </c>
      <c r="AD23" s="78" t="str">
        <f>IF(AND($D23&gt;0,AD$6&gt;=$D23,AD$6&lt;=$E23),1,IF(AND($F23&gt;0,AD$6=$F23),"◆",""))</f>
        <v/>
      </c>
      <c r="AE23" s="78" t="str">
        <f>IF(AND($D23&gt;0,AE$6&gt;=$D23,AE$6&lt;=$E23),1,IF(AND($F23&gt;0,AE$6=$F23),"◆",""))</f>
        <v/>
      </c>
      <c r="AF23" s="78" t="str">
        <f>IF(AND($D23&gt;0,AF$6&gt;=$D23,AF$6&lt;=$E23),1,IF(AND($F23&gt;0,AF$6=$F23),"◆",""))</f>
        <v/>
      </c>
      <c r="AG23" s="78" t="str">
        <f>IF(AND($D23&gt;0,AG$6&gt;=$D23,AG$6&lt;=$E23),1,IF(AND($F23&gt;0,AG$6=$F23),"◆",""))</f>
        <v/>
      </c>
      <c r="AH23" s="78" t="str">
        <f>IF(AND($D23&gt;0,AH$6&gt;=$D23,AH$6&lt;=$E23),1,IF(AND($F23&gt;0,AH$6=$F23),"◆",""))</f>
        <v/>
      </c>
      <c r="AI23" s="78" t="str">
        <f>IF(AND($D23&gt;0,AI$6&gt;=$D23,AI$6&lt;=$E23),1,IF(AND($F23&gt;0,AI$6=$F23),"◆",""))</f>
        <v/>
      </c>
      <c r="AJ23" s="78" t="str">
        <f>IF(AND($D23&gt;0,AJ$6&gt;=$D23,AJ$6&lt;=$E23),1,IF(AND($F23&gt;0,AJ$6=$F23),"◆",""))</f>
        <v/>
      </c>
      <c r="AK23" s="78" t="str">
        <f>IF(AND($D23&gt;0,AK$6&gt;=$D23,AK$6&lt;=$E23),1,IF(AND($F23&gt;0,AK$6=$F23),"◆",""))</f>
        <v/>
      </c>
      <c r="AL23" s="78" t="str">
        <f>IF(AND($D23&gt;0,AL$6&gt;=$D23,AL$6&lt;=$E23),1,IF(AND($F23&gt;0,AL$6=$F23),"◆",""))</f>
        <v/>
      </c>
      <c r="AM23" s="78" t="str">
        <f>IF(AND($D23&gt;0,AM$6&gt;=$D23,AM$6&lt;=$E23),1,IF(AND($F23&gt;0,AM$6=$F23),"◆",""))</f>
        <v/>
      </c>
      <c r="AN23" s="78" t="str">
        <f>IF(AND($D23&gt;0,AN$6&gt;=$D23,AN$6&lt;=$E23),1,IF(AND($F23&gt;0,AN$6=$F23),"◆",""))</f>
        <v/>
      </c>
      <c r="AO23" s="78" t="str">
        <f>IF(AND($D23&gt;0,AO$6&gt;=$D23,AO$6&lt;=$E23),1,IF(AND($F23&gt;0,AO$6=$F23),"◆",""))</f>
        <v/>
      </c>
      <c r="AP23" s="78" t="str">
        <f>IF(AND($D23&gt;0,AP$6&gt;=$D23,AP$6&lt;=$E23),1,IF(AND($F23&gt;0,AP$6=$F23),"◆",""))</f>
        <v/>
      </c>
      <c r="AQ23" s="78" t="str">
        <f>IF(AND($D23&gt;0,AQ$6&gt;=$D23,AQ$6&lt;=$E23),1,IF(AND($F23&gt;0,AQ$6=$F23),"◆",""))</f>
        <v/>
      </c>
      <c r="AR23" s="78" t="str">
        <f>IF(AND($D23&gt;0,AR$6&gt;=$D23,AR$6&lt;=$E23),1,IF(AND($F23&gt;0,AR$6=$F23),"◆",""))</f>
        <v/>
      </c>
      <c r="AS23" s="78" t="str">
        <f>IF(AND($D23&gt;0,AS$6&gt;=$D23,AS$6&lt;=$E23),1,IF(AND($F23&gt;0,AS$6=$F23),"◆",""))</f>
        <v/>
      </c>
      <c r="AT23" s="78" t="str">
        <f>IF(AND($D23&gt;0,AT$6&gt;=$D23,AT$6&lt;=$E23),1,IF(AND($F23&gt;0,AT$6=$F23),"◆",""))</f>
        <v/>
      </c>
      <c r="AU23" s="78" t="str">
        <f>IF(AND($D23&gt;0,AU$6&gt;=$D23,AU$6&lt;=$E23),1,IF(AND($F23&gt;0,AU$6=$F23),"◆",""))</f>
        <v/>
      </c>
      <c r="AV23" s="78" t="str">
        <f>IF(AND($D23&gt;0,AV$6&gt;=$D23,AV$6&lt;=$E23),1,IF(AND($F23&gt;0,AV$6=$F23),"◆",""))</f>
        <v/>
      </c>
      <c r="AW23" s="78" t="str">
        <f>IF(AND($D23&gt;0,AW$6&gt;=$D23,AW$6&lt;=$E23),1,IF(AND($F23&gt;0,AW$6=$F23),"◆",""))</f>
        <v/>
      </c>
      <c r="AX23" s="78" t="str">
        <f>IF(AND($D23&gt;0,AX$6&gt;=$D23,AX$6&lt;=$E23),1,IF(AND($F23&gt;0,AX$6=$F23),"◆",""))</f>
        <v/>
      </c>
      <c r="AY23" s="78" t="str">
        <f>IF(AND($D23&gt;0,AY$6&gt;=$D23,AY$6&lt;=$E23),1,IF(AND($F23&gt;0,AY$6=$F23),"◆",""))</f>
        <v/>
      </c>
      <c r="AZ23" s="78" t="str">
        <f>IF(AND($D23&gt;0,AZ$6&gt;=$D23,AZ$6&lt;=$E23),1,IF(AND($F23&gt;0,AZ$6=$F23),"◆",""))</f>
        <v/>
      </c>
      <c r="BA23" s="78" t="str">
        <f>IF(AND($D23&gt;0,BA$6&gt;=$D23,BA$6&lt;=$E23),1,IF(AND($F23&gt;0,BA$6=$F23),"◆",""))</f>
        <v/>
      </c>
      <c r="BB23" s="78" t="str">
        <f>IF(AND($D23&gt;0,BB$6&gt;=$D23,BB$6&lt;=$E23),1,IF(AND($F23&gt;0,BB$6=$F23),"◆",""))</f>
        <v/>
      </c>
      <c r="BC23" s="78" t="str">
        <f>IF(AND($D23&gt;0,BC$6&gt;=$D23,BC$6&lt;=$E23),1,IF(AND($F23&gt;0,BC$6=$F23),"◆",""))</f>
        <v/>
      </c>
      <c r="BD23" s="78" t="str">
        <f>IF(AND($D23&gt;0,BD$6&gt;=$D23,BD$6&lt;=$E23),1,IF(AND($F23&gt;0,BD$6=$F23),"◆",""))</f>
        <v/>
      </c>
      <c r="BE23" s="78" t="str">
        <f>IF(AND($D23&gt;0,BE$6&gt;=$D23,BE$6&lt;=$E23),1,IF(AND($F23&gt;0,BE$6=$F23),"◆",""))</f>
        <v/>
      </c>
      <c r="BF23" s="78" t="str">
        <f>IF(AND($D23&gt;0,BF$6&gt;=$D23,BF$6&lt;=$E23),1,IF(AND($F23&gt;0,BF$6=$F23),"◆",""))</f>
        <v/>
      </c>
      <c r="BG23" s="78" t="str">
        <f>IF(AND($D23&gt;0,BG$6&gt;=$D23,BG$6&lt;=$E23),1,IF(AND($F23&gt;0,BG$6=$F23),"◆",""))</f>
        <v/>
      </c>
      <c r="BH23" s="78" t="str">
        <f>IF(AND($D23&gt;0,BH$6&gt;=$D23,BH$6&lt;=$E23),1,IF(AND($F23&gt;0,BH$6=$F23),"◆",""))</f>
        <v/>
      </c>
      <c r="BI23" s="78" t="str">
        <f>IF(AND($D23&gt;0,BI$6&gt;=$D23,BI$6&lt;=$E23),1,IF(AND($F23&gt;0,BI$6=$F23),"◆",""))</f>
        <v/>
      </c>
      <c r="BJ23" s="78" t="str">
        <f>IF(AND($D23&gt;0,BJ$6&gt;=$D23,BJ$6&lt;=$E23),1,IF(AND($F23&gt;0,BJ$6=$F23),"◆",""))</f>
        <v/>
      </c>
      <c r="BK23" s="78" t="str">
        <f>IF(AND($D23&gt;0,BK$6&gt;=$D23,BK$6&lt;=$E23),1,IF(AND($F23&gt;0,BK$6=$F23),"◆",""))</f>
        <v/>
      </c>
      <c r="BL23" s="78" t="str">
        <f>IF(AND($D23&gt;0,BL$6&gt;=$D23,BL$6&lt;=$E23),1,IF(AND($F23&gt;0,BL$6=$F23),"◆",""))</f>
        <v/>
      </c>
      <c r="BM23" s="78" t="str">
        <f>IF(AND($D23&gt;0,BM$6&gt;=$D23,BM$6&lt;=$E23),1,IF(AND($F23&gt;0,BM$6=$F23),"◆",""))</f>
        <v/>
      </c>
      <c r="BN23" s="78" t="str">
        <f>IF(AND($D23&gt;0,BN$6&gt;=$D23,BN$6&lt;=$E23),1,IF(AND($F23&gt;0,BN$6=$F23),"◆",""))</f>
        <v/>
      </c>
      <c r="BO23" s="78" t="str">
        <f>IF(AND($D23&gt;0,BO$6&gt;=$D23,BO$6&lt;=$E23),1,IF(AND($F23&gt;0,BO$6=$F23),"◆",""))</f>
        <v/>
      </c>
      <c r="BP23" s="78" t="str">
        <f>IF(AND($D23&gt;0,BP$6&gt;=$D23,BP$6&lt;=$E23),1,IF(AND($F23&gt;0,BP$6=$F23),"◆",""))</f>
        <v/>
      </c>
    </row>
    <row r="24">
      <c r="A24" s="75" t="str">
        <f>IF(INDEX(of_ref,18)="","",INDEX(of_num,18)&amp;"")</f>
        <v>OF-2611-018</v>
      </c>
      <c r="B24" s="75" t="str">
        <f>IF(INDEX(of_ref,18)="","",INDEX(of_des,18)&amp;"")</f>
        <v>Bras de suspension soudé</v>
      </c>
      <c r="C24" s="76" t="str">
        <f>IF(INDEX(of_ref,18)="","",INDEX(of_poste,18)&amp;"")</f>
        <v>SOUD</v>
      </c>
      <c r="D24" s="77">
        <f>INDEX(of_start,18)</f>
        <v>46337.0</v>
      </c>
      <c r="E24" s="77">
        <f>INDEX(of_end,18)</f>
        <v>46342.0</v>
      </c>
      <c r="F24" s="77">
        <f>IF(N(INDEX(of_need,18))=0,0,INDEX(of_need,18))</f>
        <v>46353.0</v>
      </c>
      <c r="G24" s="76" t="str">
        <f>IF(INDEX(of_ref,18)="","",INDEX(of_etat,18)&amp;"")</f>
        <v>À l'heure</v>
      </c>
      <c r="I24" s="78" t="str">
        <f>IF(AND($D24&gt;0,I$6&gt;=$D24,I$6&lt;=$E24),1,IF(AND($F24&gt;0,I$6=$F24),"◆",""))</f>
        <v/>
      </c>
      <c r="J24" s="78" t="str">
        <f>IF(AND($D24&gt;0,J$6&gt;=$D24,J$6&lt;=$E24),1,IF(AND($F24&gt;0,J$6=$F24),"◆",""))</f>
        <v/>
      </c>
      <c r="K24" s="78" t="str">
        <f>IF(AND($D24&gt;0,K$6&gt;=$D24,K$6&lt;=$E24),1,IF(AND($F24&gt;0,K$6=$F24),"◆",""))</f>
        <v/>
      </c>
      <c r="L24" s="78" t="str">
        <f>IF(AND($D24&gt;0,L$6&gt;=$D24,L$6&lt;=$E24),1,IF(AND($F24&gt;0,L$6=$F24),"◆",""))</f>
        <v/>
      </c>
      <c r="M24" s="78" t="str">
        <f>IF(AND($D24&gt;0,M$6&gt;=$D24,M$6&lt;=$E24),1,IF(AND($F24&gt;0,M$6=$F24),"◆",""))</f>
        <v/>
      </c>
      <c r="N24" s="78" t="str">
        <f>IF(AND($D24&gt;0,N$6&gt;=$D24,N$6&lt;=$E24),1,IF(AND($F24&gt;0,N$6=$F24),"◆",""))</f>
        <v/>
      </c>
      <c r="O24" s="78">
        <f>IF(AND($D24&gt;0,O$6&gt;=$D24,O$6&lt;=$E24),1,IF(AND($F24&gt;0,O$6=$F24),"◆",""))</f>
        <v>1.0</v>
      </c>
      <c r="P24" s="78">
        <f>IF(AND($D24&gt;0,P$6&gt;=$D24,P$6&lt;=$E24),1,IF(AND($F24&gt;0,P$6=$F24),"◆",""))</f>
        <v>1.0</v>
      </c>
      <c r="Q24" s="78">
        <f>IF(AND($D24&gt;0,Q$6&gt;=$D24,Q$6&lt;=$E24),1,IF(AND($F24&gt;0,Q$6=$F24),"◆",""))</f>
        <v>1.0</v>
      </c>
      <c r="R24" s="78">
        <f>IF(AND($D24&gt;0,R$6&gt;=$D24,R$6&lt;=$E24),1,IF(AND($F24&gt;0,R$6=$F24),"◆",""))</f>
        <v>1.0</v>
      </c>
      <c r="S24" s="78" t="str">
        <f>IF(AND($D24&gt;0,S$6&gt;=$D24,S$6&lt;=$E24),1,IF(AND($F24&gt;0,S$6=$F24),"◆",""))</f>
        <v/>
      </c>
      <c r="T24" s="78" t="str">
        <f>IF(AND($D24&gt;0,T$6&gt;=$D24,T$6&lt;=$E24),1,IF(AND($F24&gt;0,T$6=$F24),"◆",""))</f>
        <v/>
      </c>
      <c r="U24" s="78" t="str">
        <f>IF(AND($D24&gt;0,U$6&gt;=$D24,U$6&lt;=$E24),1,IF(AND($F24&gt;0,U$6=$F24),"◆",""))</f>
        <v/>
      </c>
      <c r="V24" s="78" t="str">
        <f>IF(AND($D24&gt;0,V$6&gt;=$D24,V$6&lt;=$E24),1,IF(AND($F24&gt;0,V$6=$F24),"◆",""))</f>
        <v/>
      </c>
      <c r="W24" s="78" t="str">
        <f>IF(AND($D24&gt;0,W$6&gt;=$D24,W$6&lt;=$E24),1,IF(AND($F24&gt;0,W$6=$F24),"◆",""))</f>
        <v/>
      </c>
      <c r="X24" s="78" t="str">
        <f>IF(AND($D24&gt;0,X$6&gt;=$D24,X$6&lt;=$E24),1,IF(AND($F24&gt;0,X$6=$F24),"◆",""))</f>
        <v/>
      </c>
      <c r="Y24" s="78" t="str">
        <f>IF(AND($D24&gt;0,Y$6&gt;=$D24,Y$6&lt;=$E24),1,IF(AND($F24&gt;0,Y$6=$F24),"◆",""))</f>
        <v/>
      </c>
      <c r="Z24" s="78" t="str">
        <f>IF(AND($D24&gt;0,Z$6&gt;=$D24,Z$6&lt;=$E24),1,IF(AND($F24&gt;0,Z$6=$F24),"◆",""))</f>
        <v>◆</v>
      </c>
      <c r="AA24" s="78" t="str">
        <f>IF(AND($D24&gt;0,AA$6&gt;=$D24,AA$6&lt;=$E24),1,IF(AND($F24&gt;0,AA$6=$F24),"◆",""))</f>
        <v/>
      </c>
      <c r="AB24" s="78" t="str">
        <f>IF(AND($D24&gt;0,AB$6&gt;=$D24,AB$6&lt;=$E24),1,IF(AND($F24&gt;0,AB$6=$F24),"◆",""))</f>
        <v/>
      </c>
      <c r="AC24" s="78" t="str">
        <f>IF(AND($D24&gt;0,AC$6&gt;=$D24,AC$6&lt;=$E24),1,IF(AND($F24&gt;0,AC$6=$F24),"◆",""))</f>
        <v/>
      </c>
      <c r="AD24" s="78" t="str">
        <f>IF(AND($D24&gt;0,AD$6&gt;=$D24,AD$6&lt;=$E24),1,IF(AND($F24&gt;0,AD$6=$F24),"◆",""))</f>
        <v/>
      </c>
      <c r="AE24" s="78" t="str">
        <f>IF(AND($D24&gt;0,AE$6&gt;=$D24,AE$6&lt;=$E24),1,IF(AND($F24&gt;0,AE$6=$F24),"◆",""))</f>
        <v/>
      </c>
      <c r="AF24" s="78" t="str">
        <f>IF(AND($D24&gt;0,AF$6&gt;=$D24,AF$6&lt;=$E24),1,IF(AND($F24&gt;0,AF$6=$F24),"◆",""))</f>
        <v/>
      </c>
      <c r="AG24" s="78" t="str">
        <f>IF(AND($D24&gt;0,AG$6&gt;=$D24,AG$6&lt;=$E24),1,IF(AND($F24&gt;0,AG$6=$F24),"◆",""))</f>
        <v/>
      </c>
      <c r="AH24" s="78" t="str">
        <f>IF(AND($D24&gt;0,AH$6&gt;=$D24,AH$6&lt;=$E24),1,IF(AND($F24&gt;0,AH$6=$F24),"◆",""))</f>
        <v/>
      </c>
      <c r="AI24" s="78" t="str">
        <f>IF(AND($D24&gt;0,AI$6&gt;=$D24,AI$6&lt;=$E24),1,IF(AND($F24&gt;0,AI$6=$F24),"◆",""))</f>
        <v/>
      </c>
      <c r="AJ24" s="78" t="str">
        <f>IF(AND($D24&gt;0,AJ$6&gt;=$D24,AJ$6&lt;=$E24),1,IF(AND($F24&gt;0,AJ$6=$F24),"◆",""))</f>
        <v/>
      </c>
      <c r="AK24" s="78" t="str">
        <f>IF(AND($D24&gt;0,AK$6&gt;=$D24,AK$6&lt;=$E24),1,IF(AND($F24&gt;0,AK$6=$F24),"◆",""))</f>
        <v/>
      </c>
      <c r="AL24" s="78" t="str">
        <f>IF(AND($D24&gt;0,AL$6&gt;=$D24,AL$6&lt;=$E24),1,IF(AND($F24&gt;0,AL$6=$F24),"◆",""))</f>
        <v/>
      </c>
      <c r="AM24" s="78" t="str">
        <f>IF(AND($D24&gt;0,AM$6&gt;=$D24,AM$6&lt;=$E24),1,IF(AND($F24&gt;0,AM$6=$F24),"◆",""))</f>
        <v/>
      </c>
      <c r="AN24" s="78" t="str">
        <f>IF(AND($D24&gt;0,AN$6&gt;=$D24,AN$6&lt;=$E24),1,IF(AND($F24&gt;0,AN$6=$F24),"◆",""))</f>
        <v/>
      </c>
      <c r="AO24" s="78" t="str">
        <f>IF(AND($D24&gt;0,AO$6&gt;=$D24,AO$6&lt;=$E24),1,IF(AND($F24&gt;0,AO$6=$F24),"◆",""))</f>
        <v/>
      </c>
      <c r="AP24" s="78" t="str">
        <f>IF(AND($D24&gt;0,AP$6&gt;=$D24,AP$6&lt;=$E24),1,IF(AND($F24&gt;0,AP$6=$F24),"◆",""))</f>
        <v/>
      </c>
      <c r="AQ24" s="78" t="str">
        <f>IF(AND($D24&gt;0,AQ$6&gt;=$D24,AQ$6&lt;=$E24),1,IF(AND($F24&gt;0,AQ$6=$F24),"◆",""))</f>
        <v/>
      </c>
      <c r="AR24" s="78" t="str">
        <f>IF(AND($D24&gt;0,AR$6&gt;=$D24,AR$6&lt;=$E24),1,IF(AND($F24&gt;0,AR$6=$F24),"◆",""))</f>
        <v/>
      </c>
      <c r="AS24" s="78" t="str">
        <f>IF(AND($D24&gt;0,AS$6&gt;=$D24,AS$6&lt;=$E24),1,IF(AND($F24&gt;0,AS$6=$F24),"◆",""))</f>
        <v/>
      </c>
      <c r="AT24" s="78" t="str">
        <f>IF(AND($D24&gt;0,AT$6&gt;=$D24,AT$6&lt;=$E24),1,IF(AND($F24&gt;0,AT$6=$F24),"◆",""))</f>
        <v/>
      </c>
      <c r="AU24" s="78" t="str">
        <f>IF(AND($D24&gt;0,AU$6&gt;=$D24,AU$6&lt;=$E24),1,IF(AND($F24&gt;0,AU$6=$F24),"◆",""))</f>
        <v/>
      </c>
      <c r="AV24" s="78" t="str">
        <f>IF(AND($D24&gt;0,AV$6&gt;=$D24,AV$6&lt;=$E24),1,IF(AND($F24&gt;0,AV$6=$F24),"◆",""))</f>
        <v/>
      </c>
      <c r="AW24" s="78" t="str">
        <f>IF(AND($D24&gt;0,AW$6&gt;=$D24,AW$6&lt;=$E24),1,IF(AND($F24&gt;0,AW$6=$F24),"◆",""))</f>
        <v/>
      </c>
      <c r="AX24" s="78" t="str">
        <f>IF(AND($D24&gt;0,AX$6&gt;=$D24,AX$6&lt;=$E24),1,IF(AND($F24&gt;0,AX$6=$F24),"◆",""))</f>
        <v/>
      </c>
      <c r="AY24" s="78" t="str">
        <f>IF(AND($D24&gt;0,AY$6&gt;=$D24,AY$6&lt;=$E24),1,IF(AND($F24&gt;0,AY$6=$F24),"◆",""))</f>
        <v/>
      </c>
      <c r="AZ24" s="78" t="str">
        <f>IF(AND($D24&gt;0,AZ$6&gt;=$D24,AZ$6&lt;=$E24),1,IF(AND($F24&gt;0,AZ$6=$F24),"◆",""))</f>
        <v/>
      </c>
      <c r="BA24" s="78" t="str">
        <f>IF(AND($D24&gt;0,BA$6&gt;=$D24,BA$6&lt;=$E24),1,IF(AND($F24&gt;0,BA$6=$F24),"◆",""))</f>
        <v/>
      </c>
      <c r="BB24" s="78" t="str">
        <f>IF(AND($D24&gt;0,BB$6&gt;=$D24,BB$6&lt;=$E24),1,IF(AND($F24&gt;0,BB$6=$F24),"◆",""))</f>
        <v/>
      </c>
      <c r="BC24" s="78" t="str">
        <f>IF(AND($D24&gt;0,BC$6&gt;=$D24,BC$6&lt;=$E24),1,IF(AND($F24&gt;0,BC$6=$F24),"◆",""))</f>
        <v/>
      </c>
      <c r="BD24" s="78" t="str">
        <f>IF(AND($D24&gt;0,BD$6&gt;=$D24,BD$6&lt;=$E24),1,IF(AND($F24&gt;0,BD$6=$F24),"◆",""))</f>
        <v/>
      </c>
      <c r="BE24" s="78" t="str">
        <f>IF(AND($D24&gt;0,BE$6&gt;=$D24,BE$6&lt;=$E24),1,IF(AND($F24&gt;0,BE$6=$F24),"◆",""))</f>
        <v/>
      </c>
      <c r="BF24" s="78" t="str">
        <f>IF(AND($D24&gt;0,BF$6&gt;=$D24,BF$6&lt;=$E24),1,IF(AND($F24&gt;0,BF$6=$F24),"◆",""))</f>
        <v/>
      </c>
      <c r="BG24" s="78" t="str">
        <f>IF(AND($D24&gt;0,BG$6&gt;=$D24,BG$6&lt;=$E24),1,IF(AND($F24&gt;0,BG$6=$F24),"◆",""))</f>
        <v/>
      </c>
      <c r="BH24" s="78" t="str">
        <f>IF(AND($D24&gt;0,BH$6&gt;=$D24,BH$6&lt;=$E24),1,IF(AND($F24&gt;0,BH$6=$F24),"◆",""))</f>
        <v/>
      </c>
      <c r="BI24" s="78" t="str">
        <f>IF(AND($D24&gt;0,BI$6&gt;=$D24,BI$6&lt;=$E24),1,IF(AND($F24&gt;0,BI$6=$F24),"◆",""))</f>
        <v/>
      </c>
      <c r="BJ24" s="78" t="str">
        <f>IF(AND($D24&gt;0,BJ$6&gt;=$D24,BJ$6&lt;=$E24),1,IF(AND($F24&gt;0,BJ$6=$F24),"◆",""))</f>
        <v/>
      </c>
      <c r="BK24" s="78" t="str">
        <f>IF(AND($D24&gt;0,BK$6&gt;=$D24,BK$6&lt;=$E24),1,IF(AND($F24&gt;0,BK$6=$F24),"◆",""))</f>
        <v/>
      </c>
      <c r="BL24" s="78" t="str">
        <f>IF(AND($D24&gt;0,BL$6&gt;=$D24,BL$6&lt;=$E24),1,IF(AND($F24&gt;0,BL$6=$F24),"◆",""))</f>
        <v/>
      </c>
      <c r="BM24" s="78" t="str">
        <f>IF(AND($D24&gt;0,BM$6&gt;=$D24,BM$6&lt;=$E24),1,IF(AND($F24&gt;0,BM$6=$F24),"◆",""))</f>
        <v/>
      </c>
      <c r="BN24" s="78" t="str">
        <f>IF(AND($D24&gt;0,BN$6&gt;=$D24,BN$6&lt;=$E24),1,IF(AND($F24&gt;0,BN$6=$F24),"◆",""))</f>
        <v/>
      </c>
      <c r="BO24" s="78" t="str">
        <f>IF(AND($D24&gt;0,BO$6&gt;=$D24,BO$6&lt;=$E24),1,IF(AND($F24&gt;0,BO$6=$F24),"◆",""))</f>
        <v/>
      </c>
      <c r="BP24" s="78" t="str">
        <f>IF(AND($D24&gt;0,BP$6&gt;=$D24,BP$6&lt;=$E24),1,IF(AND($F24&gt;0,BP$6=$F24),"◆",""))</f>
        <v/>
      </c>
    </row>
    <row r="25">
      <c r="A25" s="75" t="str">
        <f>IF(INDEX(of_ref,19)="","",INDEX(of_num,19)&amp;"")</f>
        <v>OF-2611-019</v>
      </c>
      <c r="B25" s="75" t="str">
        <f>IF(INDEX(of_ref,19)="","",INDEX(of_des,19)&amp;"")</f>
        <v>Carter de boîte usiné</v>
      </c>
      <c r="C25" s="76" t="str">
        <f>IF(INDEX(of_ref,19)="","",INDEX(of_poste,19)&amp;"")</f>
        <v>FRAIS</v>
      </c>
      <c r="D25" s="77">
        <f>INDEX(of_start,19)</f>
        <v>46343.0</v>
      </c>
      <c r="E25" s="77">
        <f>INDEX(of_end,19)</f>
        <v>46346.0</v>
      </c>
      <c r="F25" s="77">
        <f>IF(N(INDEX(of_need,19))=0,0,INDEX(of_need,19))</f>
        <v>46357.0</v>
      </c>
      <c r="G25" s="76" t="str">
        <f>IF(INDEX(of_ref,19)="","",INDEX(of_etat,19)&amp;"")</f>
        <v>À l'heure</v>
      </c>
      <c r="I25" s="78" t="str">
        <f>IF(AND($D25&gt;0,I$6&gt;=$D25,I$6&lt;=$E25),1,IF(AND($F25&gt;0,I$6=$F25),"◆",""))</f>
        <v/>
      </c>
      <c r="J25" s="78" t="str">
        <f>IF(AND($D25&gt;0,J$6&gt;=$D25,J$6&lt;=$E25),1,IF(AND($F25&gt;0,J$6=$F25),"◆",""))</f>
        <v/>
      </c>
      <c r="K25" s="78" t="str">
        <f>IF(AND($D25&gt;0,K$6&gt;=$D25,K$6&lt;=$E25),1,IF(AND($F25&gt;0,K$6=$F25),"◆",""))</f>
        <v/>
      </c>
      <c r="L25" s="78" t="str">
        <f>IF(AND($D25&gt;0,L$6&gt;=$D25,L$6&lt;=$E25),1,IF(AND($F25&gt;0,L$6=$F25),"◆",""))</f>
        <v/>
      </c>
      <c r="M25" s="78" t="str">
        <f>IF(AND($D25&gt;0,M$6&gt;=$D25,M$6&lt;=$E25),1,IF(AND($F25&gt;0,M$6=$F25),"◆",""))</f>
        <v/>
      </c>
      <c r="N25" s="78" t="str">
        <f>IF(AND($D25&gt;0,N$6&gt;=$D25,N$6&lt;=$E25),1,IF(AND($F25&gt;0,N$6=$F25),"◆",""))</f>
        <v/>
      </c>
      <c r="O25" s="78" t="str">
        <f>IF(AND($D25&gt;0,O$6&gt;=$D25,O$6&lt;=$E25),1,IF(AND($F25&gt;0,O$6=$F25),"◆",""))</f>
        <v/>
      </c>
      <c r="P25" s="78" t="str">
        <f>IF(AND($D25&gt;0,P$6&gt;=$D25,P$6&lt;=$E25),1,IF(AND($F25&gt;0,P$6=$F25),"◆",""))</f>
        <v/>
      </c>
      <c r="Q25" s="78" t="str">
        <f>IF(AND($D25&gt;0,Q$6&gt;=$D25,Q$6&lt;=$E25),1,IF(AND($F25&gt;0,Q$6=$F25),"◆",""))</f>
        <v/>
      </c>
      <c r="R25" s="78" t="str">
        <f>IF(AND($D25&gt;0,R$6&gt;=$D25,R$6&lt;=$E25),1,IF(AND($F25&gt;0,R$6=$F25),"◆",""))</f>
        <v/>
      </c>
      <c r="S25" s="78">
        <f>IF(AND($D25&gt;0,S$6&gt;=$D25,S$6&lt;=$E25),1,IF(AND($F25&gt;0,S$6=$F25),"◆",""))</f>
        <v>1.0</v>
      </c>
      <c r="T25" s="78">
        <f>IF(AND($D25&gt;0,T$6&gt;=$D25,T$6&lt;=$E25),1,IF(AND($F25&gt;0,T$6=$F25),"◆",""))</f>
        <v>1.0</v>
      </c>
      <c r="U25" s="78">
        <f>IF(AND($D25&gt;0,U$6&gt;=$D25,U$6&lt;=$E25),1,IF(AND($F25&gt;0,U$6=$F25),"◆",""))</f>
        <v>1.0</v>
      </c>
      <c r="V25" s="78" t="str">
        <f>IF(AND($D25&gt;0,V$6&gt;=$D25,V$6&lt;=$E25),1,IF(AND($F25&gt;0,V$6=$F25),"◆",""))</f>
        <v/>
      </c>
      <c r="W25" s="78" t="str">
        <f>IF(AND($D25&gt;0,W$6&gt;=$D25,W$6&lt;=$E25),1,IF(AND($F25&gt;0,W$6=$F25),"◆",""))</f>
        <v/>
      </c>
      <c r="X25" s="78" t="str">
        <f>IF(AND($D25&gt;0,X$6&gt;=$D25,X$6&lt;=$E25),1,IF(AND($F25&gt;0,X$6=$F25),"◆",""))</f>
        <v/>
      </c>
      <c r="Y25" s="78" t="str">
        <f>IF(AND($D25&gt;0,Y$6&gt;=$D25,Y$6&lt;=$E25),1,IF(AND($F25&gt;0,Y$6=$F25),"◆",""))</f>
        <v/>
      </c>
      <c r="Z25" s="78" t="str">
        <f>IF(AND($D25&gt;0,Z$6&gt;=$D25,Z$6&lt;=$E25),1,IF(AND($F25&gt;0,Z$6=$F25),"◆",""))</f>
        <v/>
      </c>
      <c r="AA25" s="78" t="str">
        <f>IF(AND($D25&gt;0,AA$6&gt;=$D25,AA$6&lt;=$E25),1,IF(AND($F25&gt;0,AA$6=$F25),"◆",""))</f>
        <v/>
      </c>
      <c r="AB25" s="78" t="str">
        <f>IF(AND($D25&gt;0,AB$6&gt;=$D25,AB$6&lt;=$E25),1,IF(AND($F25&gt;0,AB$6=$F25),"◆",""))</f>
        <v>◆</v>
      </c>
      <c r="AC25" s="78" t="str">
        <f>IF(AND($D25&gt;0,AC$6&gt;=$D25,AC$6&lt;=$E25),1,IF(AND($F25&gt;0,AC$6=$F25),"◆",""))</f>
        <v/>
      </c>
      <c r="AD25" s="78" t="str">
        <f>IF(AND($D25&gt;0,AD$6&gt;=$D25,AD$6&lt;=$E25),1,IF(AND($F25&gt;0,AD$6=$F25),"◆",""))</f>
        <v/>
      </c>
      <c r="AE25" s="78" t="str">
        <f>IF(AND($D25&gt;0,AE$6&gt;=$D25,AE$6&lt;=$E25),1,IF(AND($F25&gt;0,AE$6=$F25),"◆",""))</f>
        <v/>
      </c>
      <c r="AF25" s="78" t="str">
        <f>IF(AND($D25&gt;0,AF$6&gt;=$D25,AF$6&lt;=$E25),1,IF(AND($F25&gt;0,AF$6=$F25),"◆",""))</f>
        <v/>
      </c>
      <c r="AG25" s="78" t="str">
        <f>IF(AND($D25&gt;0,AG$6&gt;=$D25,AG$6&lt;=$E25),1,IF(AND($F25&gt;0,AG$6=$F25),"◆",""))</f>
        <v/>
      </c>
      <c r="AH25" s="78" t="str">
        <f>IF(AND($D25&gt;0,AH$6&gt;=$D25,AH$6&lt;=$E25),1,IF(AND($F25&gt;0,AH$6=$F25),"◆",""))</f>
        <v/>
      </c>
      <c r="AI25" s="78" t="str">
        <f>IF(AND($D25&gt;0,AI$6&gt;=$D25,AI$6&lt;=$E25),1,IF(AND($F25&gt;0,AI$6=$F25),"◆",""))</f>
        <v/>
      </c>
      <c r="AJ25" s="78" t="str">
        <f>IF(AND($D25&gt;0,AJ$6&gt;=$D25,AJ$6&lt;=$E25),1,IF(AND($F25&gt;0,AJ$6=$F25),"◆",""))</f>
        <v/>
      </c>
      <c r="AK25" s="78" t="str">
        <f>IF(AND($D25&gt;0,AK$6&gt;=$D25,AK$6&lt;=$E25),1,IF(AND($F25&gt;0,AK$6=$F25),"◆",""))</f>
        <v/>
      </c>
      <c r="AL25" s="78" t="str">
        <f>IF(AND($D25&gt;0,AL$6&gt;=$D25,AL$6&lt;=$E25),1,IF(AND($F25&gt;0,AL$6=$F25),"◆",""))</f>
        <v/>
      </c>
      <c r="AM25" s="78" t="str">
        <f>IF(AND($D25&gt;0,AM$6&gt;=$D25,AM$6&lt;=$E25),1,IF(AND($F25&gt;0,AM$6=$F25),"◆",""))</f>
        <v/>
      </c>
      <c r="AN25" s="78" t="str">
        <f>IF(AND($D25&gt;0,AN$6&gt;=$D25,AN$6&lt;=$E25),1,IF(AND($F25&gt;0,AN$6=$F25),"◆",""))</f>
        <v/>
      </c>
      <c r="AO25" s="78" t="str">
        <f>IF(AND($D25&gt;0,AO$6&gt;=$D25,AO$6&lt;=$E25),1,IF(AND($F25&gt;0,AO$6=$F25),"◆",""))</f>
        <v/>
      </c>
      <c r="AP25" s="78" t="str">
        <f>IF(AND($D25&gt;0,AP$6&gt;=$D25,AP$6&lt;=$E25),1,IF(AND($F25&gt;0,AP$6=$F25),"◆",""))</f>
        <v/>
      </c>
      <c r="AQ25" s="78" t="str">
        <f>IF(AND($D25&gt;0,AQ$6&gt;=$D25,AQ$6&lt;=$E25),1,IF(AND($F25&gt;0,AQ$6=$F25),"◆",""))</f>
        <v/>
      </c>
      <c r="AR25" s="78" t="str">
        <f>IF(AND($D25&gt;0,AR$6&gt;=$D25,AR$6&lt;=$E25),1,IF(AND($F25&gt;0,AR$6=$F25),"◆",""))</f>
        <v/>
      </c>
      <c r="AS25" s="78" t="str">
        <f>IF(AND($D25&gt;0,AS$6&gt;=$D25,AS$6&lt;=$E25),1,IF(AND($F25&gt;0,AS$6=$F25),"◆",""))</f>
        <v/>
      </c>
      <c r="AT25" s="78" t="str">
        <f>IF(AND($D25&gt;0,AT$6&gt;=$D25,AT$6&lt;=$E25),1,IF(AND($F25&gt;0,AT$6=$F25),"◆",""))</f>
        <v/>
      </c>
      <c r="AU25" s="78" t="str">
        <f>IF(AND($D25&gt;0,AU$6&gt;=$D25,AU$6&lt;=$E25),1,IF(AND($F25&gt;0,AU$6=$F25),"◆",""))</f>
        <v/>
      </c>
      <c r="AV25" s="78" t="str">
        <f>IF(AND($D25&gt;0,AV$6&gt;=$D25,AV$6&lt;=$E25),1,IF(AND($F25&gt;0,AV$6=$F25),"◆",""))</f>
        <v/>
      </c>
      <c r="AW25" s="78" t="str">
        <f>IF(AND($D25&gt;0,AW$6&gt;=$D25,AW$6&lt;=$E25),1,IF(AND($F25&gt;0,AW$6=$F25),"◆",""))</f>
        <v/>
      </c>
      <c r="AX25" s="78" t="str">
        <f>IF(AND($D25&gt;0,AX$6&gt;=$D25,AX$6&lt;=$E25),1,IF(AND($F25&gt;0,AX$6=$F25),"◆",""))</f>
        <v/>
      </c>
      <c r="AY25" s="78" t="str">
        <f>IF(AND($D25&gt;0,AY$6&gt;=$D25,AY$6&lt;=$E25),1,IF(AND($F25&gt;0,AY$6=$F25),"◆",""))</f>
        <v/>
      </c>
      <c r="AZ25" s="78" t="str">
        <f>IF(AND($D25&gt;0,AZ$6&gt;=$D25,AZ$6&lt;=$E25),1,IF(AND($F25&gt;0,AZ$6=$F25),"◆",""))</f>
        <v/>
      </c>
      <c r="BA25" s="78" t="str">
        <f>IF(AND($D25&gt;0,BA$6&gt;=$D25,BA$6&lt;=$E25),1,IF(AND($F25&gt;0,BA$6=$F25),"◆",""))</f>
        <v/>
      </c>
      <c r="BB25" s="78" t="str">
        <f>IF(AND($D25&gt;0,BB$6&gt;=$D25,BB$6&lt;=$E25),1,IF(AND($F25&gt;0,BB$6=$F25),"◆",""))</f>
        <v/>
      </c>
      <c r="BC25" s="78" t="str">
        <f>IF(AND($D25&gt;0,BC$6&gt;=$D25,BC$6&lt;=$E25),1,IF(AND($F25&gt;0,BC$6=$F25),"◆",""))</f>
        <v/>
      </c>
      <c r="BD25" s="78" t="str">
        <f>IF(AND($D25&gt;0,BD$6&gt;=$D25,BD$6&lt;=$E25),1,IF(AND($F25&gt;0,BD$6=$F25),"◆",""))</f>
        <v/>
      </c>
      <c r="BE25" s="78" t="str">
        <f>IF(AND($D25&gt;0,BE$6&gt;=$D25,BE$6&lt;=$E25),1,IF(AND($F25&gt;0,BE$6=$F25),"◆",""))</f>
        <v/>
      </c>
      <c r="BF25" s="78" t="str">
        <f>IF(AND($D25&gt;0,BF$6&gt;=$D25,BF$6&lt;=$E25),1,IF(AND($F25&gt;0,BF$6=$F25),"◆",""))</f>
        <v/>
      </c>
      <c r="BG25" s="78" t="str">
        <f>IF(AND($D25&gt;0,BG$6&gt;=$D25,BG$6&lt;=$E25),1,IF(AND($F25&gt;0,BG$6=$F25),"◆",""))</f>
        <v/>
      </c>
      <c r="BH25" s="78" t="str">
        <f>IF(AND($D25&gt;0,BH$6&gt;=$D25,BH$6&lt;=$E25),1,IF(AND($F25&gt;0,BH$6=$F25),"◆",""))</f>
        <v/>
      </c>
      <c r="BI25" s="78" t="str">
        <f>IF(AND($D25&gt;0,BI$6&gt;=$D25,BI$6&lt;=$E25),1,IF(AND($F25&gt;0,BI$6=$F25),"◆",""))</f>
        <v/>
      </c>
      <c r="BJ25" s="78" t="str">
        <f>IF(AND($D25&gt;0,BJ$6&gt;=$D25,BJ$6&lt;=$E25),1,IF(AND($F25&gt;0,BJ$6=$F25),"◆",""))</f>
        <v/>
      </c>
      <c r="BK25" s="78" t="str">
        <f>IF(AND($D25&gt;0,BK$6&gt;=$D25,BK$6&lt;=$E25),1,IF(AND($F25&gt;0,BK$6=$F25),"◆",""))</f>
        <v/>
      </c>
      <c r="BL25" s="78" t="str">
        <f>IF(AND($D25&gt;0,BL$6&gt;=$D25,BL$6&lt;=$E25),1,IF(AND($F25&gt;0,BL$6=$F25),"◆",""))</f>
        <v/>
      </c>
      <c r="BM25" s="78" t="str">
        <f>IF(AND($D25&gt;0,BM$6&gt;=$D25,BM$6&lt;=$E25),1,IF(AND($F25&gt;0,BM$6=$F25),"◆",""))</f>
        <v/>
      </c>
      <c r="BN25" s="78" t="str">
        <f>IF(AND($D25&gt;0,BN$6&gt;=$D25,BN$6&lt;=$E25),1,IF(AND($F25&gt;0,BN$6=$F25),"◆",""))</f>
        <v/>
      </c>
      <c r="BO25" s="78" t="str">
        <f>IF(AND($D25&gt;0,BO$6&gt;=$D25,BO$6&lt;=$E25),1,IF(AND($F25&gt;0,BO$6=$F25),"◆",""))</f>
        <v/>
      </c>
      <c r="BP25" s="78" t="str">
        <f>IF(AND($D25&gt;0,BP$6&gt;=$D25,BP$6&lt;=$E25),1,IF(AND($F25&gt;0,BP$6=$F25),"◆",""))</f>
        <v/>
      </c>
    </row>
    <row r="26">
      <c r="A26" s="75" t="str">
        <f>IF(INDEX(of_ref,20)="","",INDEX(of_num,20)&amp;"")</f>
        <v>OF-2611-020</v>
      </c>
      <c r="B26" s="75" t="str">
        <f>IF(INDEX(of_ref,20)="","",INDEX(of_des,20)&amp;"")</f>
        <v>Support moteur acier</v>
      </c>
      <c r="C26" s="76" t="str">
        <f>IF(INDEX(of_ref,20)="","",INDEX(of_poste,20)&amp;"")</f>
        <v>PLIE</v>
      </c>
      <c r="D26" s="77">
        <f>INDEX(of_start,20)</f>
        <v>46342.0</v>
      </c>
      <c r="E26" s="77">
        <f>INDEX(of_end,20)</f>
        <v>46345.0</v>
      </c>
      <c r="F26" s="77">
        <f>IF(N(INDEX(of_need,20))=0,0,INDEX(of_need,20))</f>
        <v>46358.0</v>
      </c>
      <c r="G26" s="76" t="str">
        <f>IF(INDEX(of_ref,20)="","",INDEX(of_etat,20)&amp;"")</f>
        <v>À l'heure</v>
      </c>
      <c r="I26" s="78" t="str">
        <f>IF(AND($D26&gt;0,I$6&gt;=$D26,I$6&lt;=$E26),1,IF(AND($F26&gt;0,I$6=$F26),"◆",""))</f>
        <v/>
      </c>
      <c r="J26" s="78" t="str">
        <f>IF(AND($D26&gt;0,J$6&gt;=$D26,J$6&lt;=$E26),1,IF(AND($F26&gt;0,J$6=$F26),"◆",""))</f>
        <v/>
      </c>
      <c r="K26" s="78" t="str">
        <f>IF(AND($D26&gt;0,K$6&gt;=$D26,K$6&lt;=$E26),1,IF(AND($F26&gt;0,K$6=$F26),"◆",""))</f>
        <v/>
      </c>
      <c r="L26" s="78" t="str">
        <f>IF(AND($D26&gt;0,L$6&gt;=$D26,L$6&lt;=$E26),1,IF(AND($F26&gt;0,L$6=$F26),"◆",""))</f>
        <v/>
      </c>
      <c r="M26" s="78" t="str">
        <f>IF(AND($D26&gt;0,M$6&gt;=$D26,M$6&lt;=$E26),1,IF(AND($F26&gt;0,M$6=$F26),"◆",""))</f>
        <v/>
      </c>
      <c r="N26" s="78" t="str">
        <f>IF(AND($D26&gt;0,N$6&gt;=$D26,N$6&lt;=$E26),1,IF(AND($F26&gt;0,N$6=$F26),"◆",""))</f>
        <v/>
      </c>
      <c r="O26" s="78" t="str">
        <f>IF(AND($D26&gt;0,O$6&gt;=$D26,O$6&lt;=$E26),1,IF(AND($F26&gt;0,O$6=$F26),"◆",""))</f>
        <v/>
      </c>
      <c r="P26" s="78" t="str">
        <f>IF(AND($D26&gt;0,P$6&gt;=$D26,P$6&lt;=$E26),1,IF(AND($F26&gt;0,P$6=$F26),"◆",""))</f>
        <v/>
      </c>
      <c r="Q26" s="78" t="str">
        <f>IF(AND($D26&gt;0,Q$6&gt;=$D26,Q$6&lt;=$E26),1,IF(AND($F26&gt;0,Q$6=$F26),"◆",""))</f>
        <v/>
      </c>
      <c r="R26" s="78">
        <f>IF(AND($D26&gt;0,R$6&gt;=$D26,R$6&lt;=$E26),1,IF(AND($F26&gt;0,R$6=$F26),"◆",""))</f>
        <v>1.0</v>
      </c>
      <c r="S26" s="78">
        <f>IF(AND($D26&gt;0,S$6&gt;=$D26,S$6&lt;=$E26),1,IF(AND($F26&gt;0,S$6=$F26),"◆",""))</f>
        <v>1.0</v>
      </c>
      <c r="T26" s="78">
        <f>IF(AND($D26&gt;0,T$6&gt;=$D26,T$6&lt;=$E26),1,IF(AND($F26&gt;0,T$6=$F26),"◆",""))</f>
        <v>1.0</v>
      </c>
      <c r="U26" s="78" t="str">
        <f>IF(AND($D26&gt;0,U$6&gt;=$D26,U$6&lt;=$E26),1,IF(AND($F26&gt;0,U$6=$F26),"◆",""))</f>
        <v/>
      </c>
      <c r="V26" s="78" t="str">
        <f>IF(AND($D26&gt;0,V$6&gt;=$D26,V$6&lt;=$E26),1,IF(AND($F26&gt;0,V$6=$F26),"◆",""))</f>
        <v/>
      </c>
      <c r="W26" s="78" t="str">
        <f>IF(AND($D26&gt;0,W$6&gt;=$D26,W$6&lt;=$E26),1,IF(AND($F26&gt;0,W$6=$F26),"◆",""))</f>
        <v/>
      </c>
      <c r="X26" s="78" t="str">
        <f>IF(AND($D26&gt;0,X$6&gt;=$D26,X$6&lt;=$E26),1,IF(AND($F26&gt;0,X$6=$F26),"◆",""))</f>
        <v/>
      </c>
      <c r="Y26" s="78" t="str">
        <f>IF(AND($D26&gt;0,Y$6&gt;=$D26,Y$6&lt;=$E26),1,IF(AND($F26&gt;0,Y$6=$F26),"◆",""))</f>
        <v/>
      </c>
      <c r="Z26" s="78" t="str">
        <f>IF(AND($D26&gt;0,Z$6&gt;=$D26,Z$6&lt;=$E26),1,IF(AND($F26&gt;0,Z$6=$F26),"◆",""))</f>
        <v/>
      </c>
      <c r="AA26" s="78" t="str">
        <f>IF(AND($D26&gt;0,AA$6&gt;=$D26,AA$6&lt;=$E26),1,IF(AND($F26&gt;0,AA$6=$F26),"◆",""))</f>
        <v/>
      </c>
      <c r="AB26" s="78" t="str">
        <f>IF(AND($D26&gt;0,AB$6&gt;=$D26,AB$6&lt;=$E26),1,IF(AND($F26&gt;0,AB$6=$F26),"◆",""))</f>
        <v/>
      </c>
      <c r="AC26" s="78" t="str">
        <f>IF(AND($D26&gt;0,AC$6&gt;=$D26,AC$6&lt;=$E26),1,IF(AND($F26&gt;0,AC$6=$F26),"◆",""))</f>
        <v>◆</v>
      </c>
      <c r="AD26" s="78" t="str">
        <f>IF(AND($D26&gt;0,AD$6&gt;=$D26,AD$6&lt;=$E26),1,IF(AND($F26&gt;0,AD$6=$F26),"◆",""))</f>
        <v/>
      </c>
      <c r="AE26" s="78" t="str">
        <f>IF(AND($D26&gt;0,AE$6&gt;=$D26,AE$6&lt;=$E26),1,IF(AND($F26&gt;0,AE$6=$F26),"◆",""))</f>
        <v/>
      </c>
      <c r="AF26" s="78" t="str">
        <f>IF(AND($D26&gt;0,AF$6&gt;=$D26,AF$6&lt;=$E26),1,IF(AND($F26&gt;0,AF$6=$F26),"◆",""))</f>
        <v/>
      </c>
      <c r="AG26" s="78" t="str">
        <f>IF(AND($D26&gt;0,AG$6&gt;=$D26,AG$6&lt;=$E26),1,IF(AND($F26&gt;0,AG$6=$F26),"◆",""))</f>
        <v/>
      </c>
      <c r="AH26" s="78" t="str">
        <f>IF(AND($D26&gt;0,AH$6&gt;=$D26,AH$6&lt;=$E26),1,IF(AND($F26&gt;0,AH$6=$F26),"◆",""))</f>
        <v/>
      </c>
      <c r="AI26" s="78" t="str">
        <f>IF(AND($D26&gt;0,AI$6&gt;=$D26,AI$6&lt;=$E26),1,IF(AND($F26&gt;0,AI$6=$F26),"◆",""))</f>
        <v/>
      </c>
      <c r="AJ26" s="78" t="str">
        <f>IF(AND($D26&gt;0,AJ$6&gt;=$D26,AJ$6&lt;=$E26),1,IF(AND($F26&gt;0,AJ$6=$F26),"◆",""))</f>
        <v/>
      </c>
      <c r="AK26" s="78" t="str">
        <f>IF(AND($D26&gt;0,AK$6&gt;=$D26,AK$6&lt;=$E26),1,IF(AND($F26&gt;0,AK$6=$F26),"◆",""))</f>
        <v/>
      </c>
      <c r="AL26" s="78" t="str">
        <f>IF(AND($D26&gt;0,AL$6&gt;=$D26,AL$6&lt;=$E26),1,IF(AND($F26&gt;0,AL$6=$F26),"◆",""))</f>
        <v/>
      </c>
      <c r="AM26" s="78" t="str">
        <f>IF(AND($D26&gt;0,AM$6&gt;=$D26,AM$6&lt;=$E26),1,IF(AND($F26&gt;0,AM$6=$F26),"◆",""))</f>
        <v/>
      </c>
      <c r="AN26" s="78" t="str">
        <f>IF(AND($D26&gt;0,AN$6&gt;=$D26,AN$6&lt;=$E26),1,IF(AND($F26&gt;0,AN$6=$F26),"◆",""))</f>
        <v/>
      </c>
      <c r="AO26" s="78" t="str">
        <f>IF(AND($D26&gt;0,AO$6&gt;=$D26,AO$6&lt;=$E26),1,IF(AND($F26&gt;0,AO$6=$F26),"◆",""))</f>
        <v/>
      </c>
      <c r="AP26" s="78" t="str">
        <f>IF(AND($D26&gt;0,AP$6&gt;=$D26,AP$6&lt;=$E26),1,IF(AND($F26&gt;0,AP$6=$F26),"◆",""))</f>
        <v/>
      </c>
      <c r="AQ26" s="78" t="str">
        <f>IF(AND($D26&gt;0,AQ$6&gt;=$D26,AQ$6&lt;=$E26),1,IF(AND($F26&gt;0,AQ$6=$F26),"◆",""))</f>
        <v/>
      </c>
      <c r="AR26" s="78" t="str">
        <f>IF(AND($D26&gt;0,AR$6&gt;=$D26,AR$6&lt;=$E26),1,IF(AND($F26&gt;0,AR$6=$F26),"◆",""))</f>
        <v/>
      </c>
      <c r="AS26" s="78" t="str">
        <f>IF(AND($D26&gt;0,AS$6&gt;=$D26,AS$6&lt;=$E26),1,IF(AND($F26&gt;0,AS$6=$F26),"◆",""))</f>
        <v/>
      </c>
      <c r="AT26" s="78" t="str">
        <f>IF(AND($D26&gt;0,AT$6&gt;=$D26,AT$6&lt;=$E26),1,IF(AND($F26&gt;0,AT$6=$F26),"◆",""))</f>
        <v/>
      </c>
      <c r="AU26" s="78" t="str">
        <f>IF(AND($D26&gt;0,AU$6&gt;=$D26,AU$6&lt;=$E26),1,IF(AND($F26&gt;0,AU$6=$F26),"◆",""))</f>
        <v/>
      </c>
      <c r="AV26" s="78" t="str">
        <f>IF(AND($D26&gt;0,AV$6&gt;=$D26,AV$6&lt;=$E26),1,IF(AND($F26&gt;0,AV$6=$F26),"◆",""))</f>
        <v/>
      </c>
      <c r="AW26" s="78" t="str">
        <f>IF(AND($D26&gt;0,AW$6&gt;=$D26,AW$6&lt;=$E26),1,IF(AND($F26&gt;0,AW$6=$F26),"◆",""))</f>
        <v/>
      </c>
      <c r="AX26" s="78" t="str">
        <f>IF(AND($D26&gt;0,AX$6&gt;=$D26,AX$6&lt;=$E26),1,IF(AND($F26&gt;0,AX$6=$F26),"◆",""))</f>
        <v/>
      </c>
      <c r="AY26" s="78" t="str">
        <f>IF(AND($D26&gt;0,AY$6&gt;=$D26,AY$6&lt;=$E26),1,IF(AND($F26&gt;0,AY$6=$F26),"◆",""))</f>
        <v/>
      </c>
      <c r="AZ26" s="78" t="str">
        <f>IF(AND($D26&gt;0,AZ$6&gt;=$D26,AZ$6&lt;=$E26),1,IF(AND($F26&gt;0,AZ$6=$F26),"◆",""))</f>
        <v/>
      </c>
      <c r="BA26" s="78" t="str">
        <f>IF(AND($D26&gt;0,BA$6&gt;=$D26,BA$6&lt;=$E26),1,IF(AND($F26&gt;0,BA$6=$F26),"◆",""))</f>
        <v/>
      </c>
      <c r="BB26" s="78" t="str">
        <f>IF(AND($D26&gt;0,BB$6&gt;=$D26,BB$6&lt;=$E26),1,IF(AND($F26&gt;0,BB$6=$F26),"◆",""))</f>
        <v/>
      </c>
      <c r="BC26" s="78" t="str">
        <f>IF(AND($D26&gt;0,BC$6&gt;=$D26,BC$6&lt;=$E26),1,IF(AND($F26&gt;0,BC$6=$F26),"◆",""))</f>
        <v/>
      </c>
      <c r="BD26" s="78" t="str">
        <f>IF(AND($D26&gt;0,BD$6&gt;=$D26,BD$6&lt;=$E26),1,IF(AND($F26&gt;0,BD$6=$F26),"◆",""))</f>
        <v/>
      </c>
      <c r="BE26" s="78" t="str">
        <f>IF(AND($D26&gt;0,BE$6&gt;=$D26,BE$6&lt;=$E26),1,IF(AND($F26&gt;0,BE$6=$F26),"◆",""))</f>
        <v/>
      </c>
      <c r="BF26" s="78" t="str">
        <f>IF(AND($D26&gt;0,BF$6&gt;=$D26,BF$6&lt;=$E26),1,IF(AND($F26&gt;0,BF$6=$F26),"◆",""))</f>
        <v/>
      </c>
      <c r="BG26" s="78" t="str">
        <f>IF(AND($D26&gt;0,BG$6&gt;=$D26,BG$6&lt;=$E26),1,IF(AND($F26&gt;0,BG$6=$F26),"◆",""))</f>
        <v/>
      </c>
      <c r="BH26" s="78" t="str">
        <f>IF(AND($D26&gt;0,BH$6&gt;=$D26,BH$6&lt;=$E26),1,IF(AND($F26&gt;0,BH$6=$F26),"◆",""))</f>
        <v/>
      </c>
      <c r="BI26" s="78" t="str">
        <f>IF(AND($D26&gt;0,BI$6&gt;=$D26,BI$6&lt;=$E26),1,IF(AND($F26&gt;0,BI$6=$F26),"◆",""))</f>
        <v/>
      </c>
      <c r="BJ26" s="78" t="str">
        <f>IF(AND($D26&gt;0,BJ$6&gt;=$D26,BJ$6&lt;=$E26),1,IF(AND($F26&gt;0,BJ$6=$F26),"◆",""))</f>
        <v/>
      </c>
      <c r="BK26" s="78" t="str">
        <f>IF(AND($D26&gt;0,BK$6&gt;=$D26,BK$6&lt;=$E26),1,IF(AND($F26&gt;0,BK$6=$F26),"◆",""))</f>
        <v/>
      </c>
      <c r="BL26" s="78" t="str">
        <f>IF(AND($D26&gt;0,BL$6&gt;=$D26,BL$6&lt;=$E26),1,IF(AND($F26&gt;0,BL$6=$F26),"◆",""))</f>
        <v/>
      </c>
      <c r="BM26" s="78" t="str">
        <f>IF(AND($D26&gt;0,BM$6&gt;=$D26,BM$6&lt;=$E26),1,IF(AND($F26&gt;0,BM$6=$F26),"◆",""))</f>
        <v/>
      </c>
      <c r="BN26" s="78" t="str">
        <f>IF(AND($D26&gt;0,BN$6&gt;=$D26,BN$6&lt;=$E26),1,IF(AND($F26&gt;0,BN$6=$F26),"◆",""))</f>
        <v/>
      </c>
      <c r="BO26" s="78" t="str">
        <f>IF(AND($D26&gt;0,BO$6&gt;=$D26,BO$6&lt;=$E26),1,IF(AND($F26&gt;0,BO$6=$F26),"◆",""))</f>
        <v/>
      </c>
      <c r="BP26" s="78" t="str">
        <f>IF(AND($D26&gt;0,BP$6&gt;=$D26,BP$6&lt;=$E26),1,IF(AND($F26&gt;0,BP$6=$F26),"◆",""))</f>
        <v/>
      </c>
    </row>
    <row r="27">
      <c r="A27" s="75" t="str">
        <f>IF(INDEX(of_ref,21)="","",INDEX(of_num,21)&amp;"")</f>
        <v>OF-2612-021</v>
      </c>
      <c r="B27" s="75" t="str">
        <f>IF(INDEX(of_ref,21)="","",INDEX(of_des,21)&amp;"")</f>
        <v>Châssis remorque soudé</v>
      </c>
      <c r="C27" s="76" t="str">
        <f>IF(INDEX(of_ref,21)="","",INDEX(of_poste,21)&amp;"")</f>
        <v>SOUD</v>
      </c>
      <c r="D27" s="77">
        <f>INDEX(of_start,21)</f>
        <v>46343.0</v>
      </c>
      <c r="E27" s="77">
        <f>INDEX(of_end,21)</f>
        <v>46350.0</v>
      </c>
      <c r="F27" s="77">
        <f>IF(N(INDEX(of_need,21))=0,0,INDEX(of_need,21))</f>
        <v>46364.0</v>
      </c>
      <c r="G27" s="76" t="str">
        <f>IF(INDEX(of_ref,21)="","",INDEX(of_etat,21)&amp;"")</f>
        <v>À l'heure</v>
      </c>
      <c r="I27" s="78" t="str">
        <f>IF(AND($D27&gt;0,I$6&gt;=$D27,I$6&lt;=$E27),1,IF(AND($F27&gt;0,I$6=$F27),"◆",""))</f>
        <v/>
      </c>
      <c r="J27" s="78" t="str">
        <f>IF(AND($D27&gt;0,J$6&gt;=$D27,J$6&lt;=$E27),1,IF(AND($F27&gt;0,J$6=$F27),"◆",""))</f>
        <v/>
      </c>
      <c r="K27" s="78" t="str">
        <f>IF(AND($D27&gt;0,K$6&gt;=$D27,K$6&lt;=$E27),1,IF(AND($F27&gt;0,K$6=$F27),"◆",""))</f>
        <v/>
      </c>
      <c r="L27" s="78" t="str">
        <f>IF(AND($D27&gt;0,L$6&gt;=$D27,L$6&lt;=$E27),1,IF(AND($F27&gt;0,L$6=$F27),"◆",""))</f>
        <v/>
      </c>
      <c r="M27" s="78" t="str">
        <f>IF(AND($D27&gt;0,M$6&gt;=$D27,M$6&lt;=$E27),1,IF(AND($F27&gt;0,M$6=$F27),"◆",""))</f>
        <v/>
      </c>
      <c r="N27" s="78" t="str">
        <f>IF(AND($D27&gt;0,N$6&gt;=$D27,N$6&lt;=$E27),1,IF(AND($F27&gt;0,N$6=$F27),"◆",""))</f>
        <v/>
      </c>
      <c r="O27" s="78" t="str">
        <f>IF(AND($D27&gt;0,O$6&gt;=$D27,O$6&lt;=$E27),1,IF(AND($F27&gt;0,O$6=$F27),"◆",""))</f>
        <v/>
      </c>
      <c r="P27" s="78" t="str">
        <f>IF(AND($D27&gt;0,P$6&gt;=$D27,P$6&lt;=$E27),1,IF(AND($F27&gt;0,P$6=$F27),"◆",""))</f>
        <v/>
      </c>
      <c r="Q27" s="78" t="str">
        <f>IF(AND($D27&gt;0,Q$6&gt;=$D27,Q$6&lt;=$E27),1,IF(AND($F27&gt;0,Q$6=$F27),"◆",""))</f>
        <v/>
      </c>
      <c r="R27" s="78" t="str">
        <f>IF(AND($D27&gt;0,R$6&gt;=$D27,R$6&lt;=$E27),1,IF(AND($F27&gt;0,R$6=$F27),"◆",""))</f>
        <v/>
      </c>
      <c r="S27" s="78">
        <f>IF(AND($D27&gt;0,S$6&gt;=$D27,S$6&lt;=$E27),1,IF(AND($F27&gt;0,S$6=$F27),"◆",""))</f>
        <v>1.0</v>
      </c>
      <c r="T27" s="78">
        <f>IF(AND($D27&gt;0,T$6&gt;=$D27,T$6&lt;=$E27),1,IF(AND($F27&gt;0,T$6=$F27),"◆",""))</f>
        <v>1.0</v>
      </c>
      <c r="U27" s="78">
        <f>IF(AND($D27&gt;0,U$6&gt;=$D27,U$6&lt;=$E27),1,IF(AND($F27&gt;0,U$6=$F27),"◆",""))</f>
        <v>1.0</v>
      </c>
      <c r="V27" s="78">
        <f>IF(AND($D27&gt;0,V$6&gt;=$D27,V$6&lt;=$E27),1,IF(AND($F27&gt;0,V$6=$F27),"◆",""))</f>
        <v>1.0</v>
      </c>
      <c r="W27" s="78">
        <f>IF(AND($D27&gt;0,W$6&gt;=$D27,W$6&lt;=$E27),1,IF(AND($F27&gt;0,W$6=$F27),"◆",""))</f>
        <v>1.0</v>
      </c>
      <c r="X27" s="78" t="str">
        <f>IF(AND($D27&gt;0,X$6&gt;=$D27,X$6&lt;=$E27),1,IF(AND($F27&gt;0,X$6=$F27),"◆",""))</f>
        <v/>
      </c>
      <c r="Y27" s="78" t="str">
        <f>IF(AND($D27&gt;0,Y$6&gt;=$D27,Y$6&lt;=$E27),1,IF(AND($F27&gt;0,Y$6=$F27),"◆",""))</f>
        <v/>
      </c>
      <c r="Z27" s="78" t="str">
        <f>IF(AND($D27&gt;0,Z$6&gt;=$D27,Z$6&lt;=$E27),1,IF(AND($F27&gt;0,Z$6=$F27),"◆",""))</f>
        <v/>
      </c>
      <c r="AA27" s="78" t="str">
        <f>IF(AND($D27&gt;0,AA$6&gt;=$D27,AA$6&lt;=$E27),1,IF(AND($F27&gt;0,AA$6=$F27),"◆",""))</f>
        <v/>
      </c>
      <c r="AB27" s="78" t="str">
        <f>IF(AND($D27&gt;0,AB$6&gt;=$D27,AB$6&lt;=$E27),1,IF(AND($F27&gt;0,AB$6=$F27),"◆",""))</f>
        <v/>
      </c>
      <c r="AC27" s="78" t="str">
        <f>IF(AND($D27&gt;0,AC$6&gt;=$D27,AC$6&lt;=$E27),1,IF(AND($F27&gt;0,AC$6=$F27),"◆",""))</f>
        <v/>
      </c>
      <c r="AD27" s="78" t="str">
        <f>IF(AND($D27&gt;0,AD$6&gt;=$D27,AD$6&lt;=$E27),1,IF(AND($F27&gt;0,AD$6=$F27),"◆",""))</f>
        <v/>
      </c>
      <c r="AE27" s="78" t="str">
        <f>IF(AND($D27&gt;0,AE$6&gt;=$D27,AE$6&lt;=$E27),1,IF(AND($F27&gt;0,AE$6=$F27),"◆",""))</f>
        <v/>
      </c>
      <c r="AF27" s="78" t="str">
        <f>IF(AND($D27&gt;0,AF$6&gt;=$D27,AF$6&lt;=$E27),1,IF(AND($F27&gt;0,AF$6=$F27),"◆",""))</f>
        <v/>
      </c>
      <c r="AG27" s="78" t="str">
        <f>IF(AND($D27&gt;0,AG$6&gt;=$D27,AG$6&lt;=$E27),1,IF(AND($F27&gt;0,AG$6=$F27),"◆",""))</f>
        <v>◆</v>
      </c>
      <c r="AH27" s="78" t="str">
        <f>IF(AND($D27&gt;0,AH$6&gt;=$D27,AH$6&lt;=$E27),1,IF(AND($F27&gt;0,AH$6=$F27),"◆",""))</f>
        <v/>
      </c>
      <c r="AI27" s="78" t="str">
        <f>IF(AND($D27&gt;0,AI$6&gt;=$D27,AI$6&lt;=$E27),1,IF(AND($F27&gt;0,AI$6=$F27),"◆",""))</f>
        <v/>
      </c>
      <c r="AJ27" s="78" t="str">
        <f>IF(AND($D27&gt;0,AJ$6&gt;=$D27,AJ$6&lt;=$E27),1,IF(AND($F27&gt;0,AJ$6=$F27),"◆",""))</f>
        <v/>
      </c>
      <c r="AK27" s="78" t="str">
        <f>IF(AND($D27&gt;0,AK$6&gt;=$D27,AK$6&lt;=$E27),1,IF(AND($F27&gt;0,AK$6=$F27),"◆",""))</f>
        <v/>
      </c>
      <c r="AL27" s="78" t="str">
        <f>IF(AND($D27&gt;0,AL$6&gt;=$D27,AL$6&lt;=$E27),1,IF(AND($F27&gt;0,AL$6=$F27),"◆",""))</f>
        <v/>
      </c>
      <c r="AM27" s="78" t="str">
        <f>IF(AND($D27&gt;0,AM$6&gt;=$D27,AM$6&lt;=$E27),1,IF(AND($F27&gt;0,AM$6=$F27),"◆",""))</f>
        <v/>
      </c>
      <c r="AN27" s="78" t="str">
        <f>IF(AND($D27&gt;0,AN$6&gt;=$D27,AN$6&lt;=$E27),1,IF(AND($F27&gt;0,AN$6=$F27),"◆",""))</f>
        <v/>
      </c>
      <c r="AO27" s="78" t="str">
        <f>IF(AND($D27&gt;0,AO$6&gt;=$D27,AO$6&lt;=$E27),1,IF(AND($F27&gt;0,AO$6=$F27),"◆",""))</f>
        <v/>
      </c>
      <c r="AP27" s="78" t="str">
        <f>IF(AND($D27&gt;0,AP$6&gt;=$D27,AP$6&lt;=$E27),1,IF(AND($F27&gt;0,AP$6=$F27),"◆",""))</f>
        <v/>
      </c>
      <c r="AQ27" s="78" t="str">
        <f>IF(AND($D27&gt;0,AQ$6&gt;=$D27,AQ$6&lt;=$E27),1,IF(AND($F27&gt;0,AQ$6=$F27),"◆",""))</f>
        <v/>
      </c>
      <c r="AR27" s="78" t="str">
        <f>IF(AND($D27&gt;0,AR$6&gt;=$D27,AR$6&lt;=$E27),1,IF(AND($F27&gt;0,AR$6=$F27),"◆",""))</f>
        <v/>
      </c>
      <c r="AS27" s="78" t="str">
        <f>IF(AND($D27&gt;0,AS$6&gt;=$D27,AS$6&lt;=$E27),1,IF(AND($F27&gt;0,AS$6=$F27),"◆",""))</f>
        <v/>
      </c>
      <c r="AT27" s="78" t="str">
        <f>IF(AND($D27&gt;0,AT$6&gt;=$D27,AT$6&lt;=$E27),1,IF(AND($F27&gt;0,AT$6=$F27),"◆",""))</f>
        <v/>
      </c>
      <c r="AU27" s="78" t="str">
        <f>IF(AND($D27&gt;0,AU$6&gt;=$D27,AU$6&lt;=$E27),1,IF(AND($F27&gt;0,AU$6=$F27),"◆",""))</f>
        <v/>
      </c>
      <c r="AV27" s="78" t="str">
        <f>IF(AND($D27&gt;0,AV$6&gt;=$D27,AV$6&lt;=$E27),1,IF(AND($F27&gt;0,AV$6=$F27),"◆",""))</f>
        <v/>
      </c>
      <c r="AW27" s="78" t="str">
        <f>IF(AND($D27&gt;0,AW$6&gt;=$D27,AW$6&lt;=$E27),1,IF(AND($F27&gt;0,AW$6=$F27),"◆",""))</f>
        <v/>
      </c>
      <c r="AX27" s="78" t="str">
        <f>IF(AND($D27&gt;0,AX$6&gt;=$D27,AX$6&lt;=$E27),1,IF(AND($F27&gt;0,AX$6=$F27),"◆",""))</f>
        <v/>
      </c>
      <c r="AY27" s="78" t="str">
        <f>IF(AND($D27&gt;0,AY$6&gt;=$D27,AY$6&lt;=$E27),1,IF(AND($F27&gt;0,AY$6=$F27),"◆",""))</f>
        <v/>
      </c>
      <c r="AZ27" s="78" t="str">
        <f>IF(AND($D27&gt;0,AZ$6&gt;=$D27,AZ$6&lt;=$E27),1,IF(AND($F27&gt;0,AZ$6=$F27),"◆",""))</f>
        <v/>
      </c>
      <c r="BA27" s="78" t="str">
        <f>IF(AND($D27&gt;0,BA$6&gt;=$D27,BA$6&lt;=$E27),1,IF(AND($F27&gt;0,BA$6=$F27),"◆",""))</f>
        <v/>
      </c>
      <c r="BB27" s="78" t="str">
        <f>IF(AND($D27&gt;0,BB$6&gt;=$D27,BB$6&lt;=$E27),1,IF(AND($F27&gt;0,BB$6=$F27),"◆",""))</f>
        <v/>
      </c>
      <c r="BC27" s="78" t="str">
        <f>IF(AND($D27&gt;0,BC$6&gt;=$D27,BC$6&lt;=$E27),1,IF(AND($F27&gt;0,BC$6=$F27),"◆",""))</f>
        <v/>
      </c>
      <c r="BD27" s="78" t="str">
        <f>IF(AND($D27&gt;0,BD$6&gt;=$D27,BD$6&lt;=$E27),1,IF(AND($F27&gt;0,BD$6=$F27),"◆",""))</f>
        <v/>
      </c>
      <c r="BE27" s="78" t="str">
        <f>IF(AND($D27&gt;0,BE$6&gt;=$D27,BE$6&lt;=$E27),1,IF(AND($F27&gt;0,BE$6=$F27),"◆",""))</f>
        <v/>
      </c>
      <c r="BF27" s="78" t="str">
        <f>IF(AND($D27&gt;0,BF$6&gt;=$D27,BF$6&lt;=$E27),1,IF(AND($F27&gt;0,BF$6=$F27),"◆",""))</f>
        <v/>
      </c>
      <c r="BG27" s="78" t="str">
        <f>IF(AND($D27&gt;0,BG$6&gt;=$D27,BG$6&lt;=$E27),1,IF(AND($F27&gt;0,BG$6=$F27),"◆",""))</f>
        <v/>
      </c>
      <c r="BH27" s="78" t="str">
        <f>IF(AND($D27&gt;0,BH$6&gt;=$D27,BH$6&lt;=$E27),1,IF(AND($F27&gt;0,BH$6=$F27),"◆",""))</f>
        <v/>
      </c>
      <c r="BI27" s="78" t="str">
        <f>IF(AND($D27&gt;0,BI$6&gt;=$D27,BI$6&lt;=$E27),1,IF(AND($F27&gt;0,BI$6=$F27),"◆",""))</f>
        <v/>
      </c>
      <c r="BJ27" s="78" t="str">
        <f>IF(AND($D27&gt;0,BJ$6&gt;=$D27,BJ$6&lt;=$E27),1,IF(AND($F27&gt;0,BJ$6=$F27),"◆",""))</f>
        <v/>
      </c>
      <c r="BK27" s="78" t="str">
        <f>IF(AND($D27&gt;0,BK$6&gt;=$D27,BK$6&lt;=$E27),1,IF(AND($F27&gt;0,BK$6=$F27),"◆",""))</f>
        <v/>
      </c>
      <c r="BL27" s="78" t="str">
        <f>IF(AND($D27&gt;0,BL$6&gt;=$D27,BL$6&lt;=$E27),1,IF(AND($F27&gt;0,BL$6=$F27),"◆",""))</f>
        <v/>
      </c>
      <c r="BM27" s="78" t="str">
        <f>IF(AND($D27&gt;0,BM$6&gt;=$D27,BM$6&lt;=$E27),1,IF(AND($F27&gt;0,BM$6=$F27),"◆",""))</f>
        <v/>
      </c>
      <c r="BN27" s="78" t="str">
        <f>IF(AND($D27&gt;0,BN$6&gt;=$D27,BN$6&lt;=$E27),1,IF(AND($F27&gt;0,BN$6=$F27),"◆",""))</f>
        <v/>
      </c>
      <c r="BO27" s="78" t="str">
        <f>IF(AND($D27&gt;0,BO$6&gt;=$D27,BO$6&lt;=$E27),1,IF(AND($F27&gt;0,BO$6=$F27),"◆",""))</f>
        <v/>
      </c>
      <c r="BP27" s="78" t="str">
        <f>IF(AND($D27&gt;0,BP$6&gt;=$D27,BP$6&lt;=$E27),1,IF(AND($F27&gt;0,BP$6=$F27),"◆",""))</f>
        <v/>
      </c>
    </row>
    <row r="28">
      <c r="A28" s="75" t="str">
        <f>IF(INDEX(of_ref,22)="","",INDEX(of_num,22)&amp;"")</f>
        <v>OF-2612-022</v>
      </c>
      <c r="B28" s="75" t="str">
        <f>IF(INDEX(of_ref,22)="","",INDEX(of_des,22)&amp;"")</f>
        <v>Pignon T15</v>
      </c>
      <c r="C28" s="76" t="str">
        <f>IF(INDEX(of_ref,22)="","",INDEX(of_poste,22)&amp;"")</f>
        <v>FRAIS</v>
      </c>
      <c r="D28" s="77">
        <f>INDEX(of_start,22)</f>
        <v>46349.0</v>
      </c>
      <c r="E28" s="77">
        <f>INDEX(of_end,22)</f>
        <v>46356.0</v>
      </c>
      <c r="F28" s="77">
        <f>IF(N(INDEX(of_need,22))=0,0,INDEX(of_need,22))</f>
        <v>46356.0</v>
      </c>
      <c r="G28" s="76" t="str">
        <f>IF(INDEX(of_ref,22)="","",INDEX(of_etat,22)&amp;"")</f>
        <v>Juste</v>
      </c>
      <c r="I28" s="78" t="str">
        <f>IF(AND($D28&gt;0,I$6&gt;=$D28,I$6&lt;=$E28),1,IF(AND($F28&gt;0,I$6=$F28),"◆",""))</f>
        <v/>
      </c>
      <c r="J28" s="78" t="str">
        <f>IF(AND($D28&gt;0,J$6&gt;=$D28,J$6&lt;=$E28),1,IF(AND($F28&gt;0,J$6=$F28),"◆",""))</f>
        <v/>
      </c>
      <c r="K28" s="78" t="str">
        <f>IF(AND($D28&gt;0,K$6&gt;=$D28,K$6&lt;=$E28),1,IF(AND($F28&gt;0,K$6=$F28),"◆",""))</f>
        <v/>
      </c>
      <c r="L28" s="78" t="str">
        <f>IF(AND($D28&gt;0,L$6&gt;=$D28,L$6&lt;=$E28),1,IF(AND($F28&gt;0,L$6=$F28),"◆",""))</f>
        <v/>
      </c>
      <c r="M28" s="78" t="str">
        <f>IF(AND($D28&gt;0,M$6&gt;=$D28,M$6&lt;=$E28),1,IF(AND($F28&gt;0,M$6=$F28),"◆",""))</f>
        <v/>
      </c>
      <c r="N28" s="78" t="str">
        <f>IF(AND($D28&gt;0,N$6&gt;=$D28,N$6&lt;=$E28),1,IF(AND($F28&gt;0,N$6=$F28),"◆",""))</f>
        <v/>
      </c>
      <c r="O28" s="78" t="str">
        <f>IF(AND($D28&gt;0,O$6&gt;=$D28,O$6&lt;=$E28),1,IF(AND($F28&gt;0,O$6=$F28),"◆",""))</f>
        <v/>
      </c>
      <c r="P28" s="78" t="str">
        <f>IF(AND($D28&gt;0,P$6&gt;=$D28,P$6&lt;=$E28),1,IF(AND($F28&gt;0,P$6=$F28),"◆",""))</f>
        <v/>
      </c>
      <c r="Q28" s="78" t="str">
        <f>IF(AND($D28&gt;0,Q$6&gt;=$D28,Q$6&lt;=$E28),1,IF(AND($F28&gt;0,Q$6=$F28),"◆",""))</f>
        <v/>
      </c>
      <c r="R28" s="78" t="str">
        <f>IF(AND($D28&gt;0,R$6&gt;=$D28,R$6&lt;=$E28),1,IF(AND($F28&gt;0,R$6=$F28),"◆",""))</f>
        <v/>
      </c>
      <c r="S28" s="78" t="str">
        <f>IF(AND($D28&gt;0,S$6&gt;=$D28,S$6&lt;=$E28),1,IF(AND($F28&gt;0,S$6=$F28),"◆",""))</f>
        <v/>
      </c>
      <c r="T28" s="78" t="str">
        <f>IF(AND($D28&gt;0,T$6&gt;=$D28,T$6&lt;=$E28),1,IF(AND($F28&gt;0,T$6=$F28),"◆",""))</f>
        <v/>
      </c>
      <c r="U28" s="78" t="str">
        <f>IF(AND($D28&gt;0,U$6&gt;=$D28,U$6&lt;=$E28),1,IF(AND($F28&gt;0,U$6=$F28),"◆",""))</f>
        <v/>
      </c>
      <c r="V28" s="78">
        <f>IF(AND($D28&gt;0,V$6&gt;=$D28,V$6&lt;=$E28),1,IF(AND($F28&gt;0,V$6=$F28),"◆",""))</f>
        <v>1.0</v>
      </c>
      <c r="W28" s="78">
        <f>IF(AND($D28&gt;0,W$6&gt;=$D28,W$6&lt;=$E28),1,IF(AND($F28&gt;0,W$6=$F28),"◆",""))</f>
        <v>1.0</v>
      </c>
      <c r="X28" s="78">
        <f>IF(AND($D28&gt;0,X$6&gt;=$D28,X$6&lt;=$E28),1,IF(AND($F28&gt;0,X$6=$F28),"◆",""))</f>
        <v>1.0</v>
      </c>
      <c r="Y28" s="78">
        <f>IF(AND($D28&gt;0,Y$6&gt;=$D28,Y$6&lt;=$E28),1,IF(AND($F28&gt;0,Y$6=$F28),"◆",""))</f>
        <v>1.0</v>
      </c>
      <c r="Z28" s="78">
        <f>IF(AND($D28&gt;0,Z$6&gt;=$D28,Z$6&lt;=$E28),1,IF(AND($F28&gt;0,Z$6=$F28),"◆",""))</f>
        <v>1.0</v>
      </c>
      <c r="AA28" s="78">
        <f>IF(AND($D28&gt;0,AA$6&gt;=$D28,AA$6&lt;=$E28),1,IF(AND($F28&gt;0,AA$6=$F28),"◆",""))</f>
        <v>1.0</v>
      </c>
      <c r="AB28" s="78" t="str">
        <f>IF(AND($D28&gt;0,AB$6&gt;=$D28,AB$6&lt;=$E28),1,IF(AND($F28&gt;0,AB$6=$F28),"◆",""))</f>
        <v/>
      </c>
      <c r="AC28" s="78" t="str">
        <f>IF(AND($D28&gt;0,AC$6&gt;=$D28,AC$6&lt;=$E28),1,IF(AND($F28&gt;0,AC$6=$F28),"◆",""))</f>
        <v/>
      </c>
      <c r="AD28" s="78" t="str">
        <f>IF(AND($D28&gt;0,AD$6&gt;=$D28,AD$6&lt;=$E28),1,IF(AND($F28&gt;0,AD$6=$F28),"◆",""))</f>
        <v/>
      </c>
      <c r="AE28" s="78" t="str">
        <f>IF(AND($D28&gt;0,AE$6&gt;=$D28,AE$6&lt;=$E28),1,IF(AND($F28&gt;0,AE$6=$F28),"◆",""))</f>
        <v/>
      </c>
      <c r="AF28" s="78" t="str">
        <f>IF(AND($D28&gt;0,AF$6&gt;=$D28,AF$6&lt;=$E28),1,IF(AND($F28&gt;0,AF$6=$F28),"◆",""))</f>
        <v/>
      </c>
      <c r="AG28" s="78" t="str">
        <f>IF(AND($D28&gt;0,AG$6&gt;=$D28,AG$6&lt;=$E28),1,IF(AND($F28&gt;0,AG$6=$F28),"◆",""))</f>
        <v/>
      </c>
      <c r="AH28" s="78" t="str">
        <f>IF(AND($D28&gt;0,AH$6&gt;=$D28,AH$6&lt;=$E28),1,IF(AND($F28&gt;0,AH$6=$F28),"◆",""))</f>
        <v/>
      </c>
      <c r="AI28" s="78" t="str">
        <f>IF(AND($D28&gt;0,AI$6&gt;=$D28,AI$6&lt;=$E28),1,IF(AND($F28&gt;0,AI$6=$F28),"◆",""))</f>
        <v/>
      </c>
      <c r="AJ28" s="78" t="str">
        <f>IF(AND($D28&gt;0,AJ$6&gt;=$D28,AJ$6&lt;=$E28),1,IF(AND($F28&gt;0,AJ$6=$F28),"◆",""))</f>
        <v/>
      </c>
      <c r="AK28" s="78" t="str">
        <f>IF(AND($D28&gt;0,AK$6&gt;=$D28,AK$6&lt;=$E28),1,IF(AND($F28&gt;0,AK$6=$F28),"◆",""))</f>
        <v/>
      </c>
      <c r="AL28" s="78" t="str">
        <f>IF(AND($D28&gt;0,AL$6&gt;=$D28,AL$6&lt;=$E28),1,IF(AND($F28&gt;0,AL$6=$F28),"◆",""))</f>
        <v/>
      </c>
      <c r="AM28" s="78" t="str">
        <f>IF(AND($D28&gt;0,AM$6&gt;=$D28,AM$6&lt;=$E28),1,IF(AND($F28&gt;0,AM$6=$F28),"◆",""))</f>
        <v/>
      </c>
      <c r="AN28" s="78" t="str">
        <f>IF(AND($D28&gt;0,AN$6&gt;=$D28,AN$6&lt;=$E28),1,IF(AND($F28&gt;0,AN$6=$F28),"◆",""))</f>
        <v/>
      </c>
      <c r="AO28" s="78" t="str">
        <f>IF(AND($D28&gt;0,AO$6&gt;=$D28,AO$6&lt;=$E28),1,IF(AND($F28&gt;0,AO$6=$F28),"◆",""))</f>
        <v/>
      </c>
      <c r="AP28" s="78" t="str">
        <f>IF(AND($D28&gt;0,AP$6&gt;=$D28,AP$6&lt;=$E28),1,IF(AND($F28&gt;0,AP$6=$F28),"◆",""))</f>
        <v/>
      </c>
      <c r="AQ28" s="78" t="str">
        <f>IF(AND($D28&gt;0,AQ$6&gt;=$D28,AQ$6&lt;=$E28),1,IF(AND($F28&gt;0,AQ$6=$F28),"◆",""))</f>
        <v/>
      </c>
      <c r="AR28" s="78" t="str">
        <f>IF(AND($D28&gt;0,AR$6&gt;=$D28,AR$6&lt;=$E28),1,IF(AND($F28&gt;0,AR$6=$F28),"◆",""))</f>
        <v/>
      </c>
      <c r="AS28" s="78" t="str">
        <f>IF(AND($D28&gt;0,AS$6&gt;=$D28,AS$6&lt;=$E28),1,IF(AND($F28&gt;0,AS$6=$F28),"◆",""))</f>
        <v/>
      </c>
      <c r="AT28" s="78" t="str">
        <f>IF(AND($D28&gt;0,AT$6&gt;=$D28,AT$6&lt;=$E28),1,IF(AND($F28&gt;0,AT$6=$F28),"◆",""))</f>
        <v/>
      </c>
      <c r="AU28" s="78" t="str">
        <f>IF(AND($D28&gt;0,AU$6&gt;=$D28,AU$6&lt;=$E28),1,IF(AND($F28&gt;0,AU$6=$F28),"◆",""))</f>
        <v/>
      </c>
      <c r="AV28" s="78" t="str">
        <f>IF(AND($D28&gt;0,AV$6&gt;=$D28,AV$6&lt;=$E28),1,IF(AND($F28&gt;0,AV$6=$F28),"◆",""))</f>
        <v/>
      </c>
      <c r="AW28" s="78" t="str">
        <f>IF(AND($D28&gt;0,AW$6&gt;=$D28,AW$6&lt;=$E28),1,IF(AND($F28&gt;0,AW$6=$F28),"◆",""))</f>
        <v/>
      </c>
      <c r="AX28" s="78" t="str">
        <f>IF(AND($D28&gt;0,AX$6&gt;=$D28,AX$6&lt;=$E28),1,IF(AND($F28&gt;0,AX$6=$F28),"◆",""))</f>
        <v/>
      </c>
      <c r="AY28" s="78" t="str">
        <f>IF(AND($D28&gt;0,AY$6&gt;=$D28,AY$6&lt;=$E28),1,IF(AND($F28&gt;0,AY$6=$F28),"◆",""))</f>
        <v/>
      </c>
      <c r="AZ28" s="78" t="str">
        <f>IF(AND($D28&gt;0,AZ$6&gt;=$D28,AZ$6&lt;=$E28),1,IF(AND($F28&gt;0,AZ$6=$F28),"◆",""))</f>
        <v/>
      </c>
      <c r="BA28" s="78" t="str">
        <f>IF(AND($D28&gt;0,BA$6&gt;=$D28,BA$6&lt;=$E28),1,IF(AND($F28&gt;0,BA$6=$F28),"◆",""))</f>
        <v/>
      </c>
      <c r="BB28" s="78" t="str">
        <f>IF(AND($D28&gt;0,BB$6&gt;=$D28,BB$6&lt;=$E28),1,IF(AND($F28&gt;0,BB$6=$F28),"◆",""))</f>
        <v/>
      </c>
      <c r="BC28" s="78" t="str">
        <f>IF(AND($D28&gt;0,BC$6&gt;=$D28,BC$6&lt;=$E28),1,IF(AND($F28&gt;0,BC$6=$F28),"◆",""))</f>
        <v/>
      </c>
      <c r="BD28" s="78" t="str">
        <f>IF(AND($D28&gt;0,BD$6&gt;=$D28,BD$6&lt;=$E28),1,IF(AND($F28&gt;0,BD$6=$F28),"◆",""))</f>
        <v/>
      </c>
      <c r="BE28" s="78" t="str">
        <f>IF(AND($D28&gt;0,BE$6&gt;=$D28,BE$6&lt;=$E28),1,IF(AND($F28&gt;0,BE$6=$F28),"◆",""))</f>
        <v/>
      </c>
      <c r="BF28" s="78" t="str">
        <f>IF(AND($D28&gt;0,BF$6&gt;=$D28,BF$6&lt;=$E28),1,IF(AND($F28&gt;0,BF$6=$F28),"◆",""))</f>
        <v/>
      </c>
      <c r="BG28" s="78" t="str">
        <f>IF(AND($D28&gt;0,BG$6&gt;=$D28,BG$6&lt;=$E28),1,IF(AND($F28&gt;0,BG$6=$F28),"◆",""))</f>
        <v/>
      </c>
      <c r="BH28" s="78" t="str">
        <f>IF(AND($D28&gt;0,BH$6&gt;=$D28,BH$6&lt;=$E28),1,IF(AND($F28&gt;0,BH$6=$F28),"◆",""))</f>
        <v/>
      </c>
      <c r="BI28" s="78" t="str">
        <f>IF(AND($D28&gt;0,BI$6&gt;=$D28,BI$6&lt;=$E28),1,IF(AND($F28&gt;0,BI$6=$F28),"◆",""))</f>
        <v/>
      </c>
      <c r="BJ28" s="78" t="str">
        <f>IF(AND($D28&gt;0,BJ$6&gt;=$D28,BJ$6&lt;=$E28),1,IF(AND($F28&gt;0,BJ$6=$F28),"◆",""))</f>
        <v/>
      </c>
      <c r="BK28" s="78" t="str">
        <f>IF(AND($D28&gt;0,BK$6&gt;=$D28,BK$6&lt;=$E28),1,IF(AND($F28&gt;0,BK$6=$F28),"◆",""))</f>
        <v/>
      </c>
      <c r="BL28" s="78" t="str">
        <f>IF(AND($D28&gt;0,BL$6&gt;=$D28,BL$6&lt;=$E28),1,IF(AND($F28&gt;0,BL$6=$F28),"◆",""))</f>
        <v/>
      </c>
      <c r="BM28" s="78" t="str">
        <f>IF(AND($D28&gt;0,BM$6&gt;=$D28,BM$6&lt;=$E28),1,IF(AND($F28&gt;0,BM$6=$F28),"◆",""))</f>
        <v/>
      </c>
      <c r="BN28" s="78" t="str">
        <f>IF(AND($D28&gt;0,BN$6&gt;=$D28,BN$6&lt;=$E28),1,IF(AND($F28&gt;0,BN$6=$F28),"◆",""))</f>
        <v/>
      </c>
      <c r="BO28" s="78" t="str">
        <f>IF(AND($D28&gt;0,BO$6&gt;=$D28,BO$6&lt;=$E28),1,IF(AND($F28&gt;0,BO$6=$F28),"◆",""))</f>
        <v/>
      </c>
      <c r="BP28" s="78" t="str">
        <f>IF(AND($D28&gt;0,BP$6&gt;=$D28,BP$6&lt;=$E28),1,IF(AND($F28&gt;0,BP$6=$F28),"◆",""))</f>
        <v/>
      </c>
    </row>
    <row r="29">
      <c r="A29" s="75" t="str">
        <f>IF(INDEX(of_ref,23)="","",INDEX(of_num,23)&amp;"")</f>
        <v>OF-2612-023</v>
      </c>
      <c r="B29" s="75" t="str">
        <f>IF(INDEX(of_ref,23)="","",INDEX(of_des,23)&amp;"")</f>
        <v>Axe de roue Ø20</v>
      </c>
      <c r="C29" s="76" t="str">
        <f>IF(INDEX(of_ref,23)="","",INDEX(of_poste,23)&amp;"")</f>
        <v>TOUR</v>
      </c>
      <c r="D29" s="77">
        <f>INDEX(of_start,23)</f>
        <v>46345.0</v>
      </c>
      <c r="E29" s="77">
        <f>INDEX(of_end,23)</f>
        <v>46349.0</v>
      </c>
      <c r="F29" s="77">
        <f>IF(N(INDEX(of_need,23))=0,0,INDEX(of_need,23))</f>
        <v>46365.0</v>
      </c>
      <c r="G29" s="76" t="str">
        <f>IF(INDEX(of_ref,23)="","",INDEX(of_etat,23)&amp;"")</f>
        <v>À l'heure</v>
      </c>
      <c r="I29" s="78" t="str">
        <f>IF(AND($D29&gt;0,I$6&gt;=$D29,I$6&lt;=$E29),1,IF(AND($F29&gt;0,I$6=$F29),"◆",""))</f>
        <v/>
      </c>
      <c r="J29" s="78" t="str">
        <f>IF(AND($D29&gt;0,J$6&gt;=$D29,J$6&lt;=$E29),1,IF(AND($F29&gt;0,J$6=$F29),"◆",""))</f>
        <v/>
      </c>
      <c r="K29" s="78" t="str">
        <f>IF(AND($D29&gt;0,K$6&gt;=$D29,K$6&lt;=$E29),1,IF(AND($F29&gt;0,K$6=$F29),"◆",""))</f>
        <v/>
      </c>
      <c r="L29" s="78" t="str">
        <f>IF(AND($D29&gt;0,L$6&gt;=$D29,L$6&lt;=$E29),1,IF(AND($F29&gt;0,L$6=$F29),"◆",""))</f>
        <v/>
      </c>
      <c r="M29" s="78" t="str">
        <f>IF(AND($D29&gt;0,M$6&gt;=$D29,M$6&lt;=$E29),1,IF(AND($F29&gt;0,M$6=$F29),"◆",""))</f>
        <v/>
      </c>
      <c r="N29" s="78" t="str">
        <f>IF(AND($D29&gt;0,N$6&gt;=$D29,N$6&lt;=$E29),1,IF(AND($F29&gt;0,N$6=$F29),"◆",""))</f>
        <v/>
      </c>
      <c r="O29" s="78" t="str">
        <f>IF(AND($D29&gt;0,O$6&gt;=$D29,O$6&lt;=$E29),1,IF(AND($F29&gt;0,O$6=$F29),"◆",""))</f>
        <v/>
      </c>
      <c r="P29" s="78" t="str">
        <f>IF(AND($D29&gt;0,P$6&gt;=$D29,P$6&lt;=$E29),1,IF(AND($F29&gt;0,P$6=$F29),"◆",""))</f>
        <v/>
      </c>
      <c r="Q29" s="78" t="str">
        <f>IF(AND($D29&gt;0,Q$6&gt;=$D29,Q$6&lt;=$E29),1,IF(AND($F29&gt;0,Q$6=$F29),"◆",""))</f>
        <v/>
      </c>
      <c r="R29" s="78" t="str">
        <f>IF(AND($D29&gt;0,R$6&gt;=$D29,R$6&lt;=$E29),1,IF(AND($F29&gt;0,R$6=$F29),"◆",""))</f>
        <v/>
      </c>
      <c r="S29" s="78" t="str">
        <f>IF(AND($D29&gt;0,S$6&gt;=$D29,S$6&lt;=$E29),1,IF(AND($F29&gt;0,S$6=$F29),"◆",""))</f>
        <v/>
      </c>
      <c r="T29" s="78">
        <f>IF(AND($D29&gt;0,T$6&gt;=$D29,T$6&lt;=$E29),1,IF(AND($F29&gt;0,T$6=$F29),"◆",""))</f>
        <v>1.0</v>
      </c>
      <c r="U29" s="78">
        <f>IF(AND($D29&gt;0,U$6&gt;=$D29,U$6&lt;=$E29),1,IF(AND($F29&gt;0,U$6=$F29),"◆",""))</f>
        <v>1.0</v>
      </c>
      <c r="V29" s="78">
        <f>IF(AND($D29&gt;0,V$6&gt;=$D29,V$6&lt;=$E29),1,IF(AND($F29&gt;0,V$6=$F29),"◆",""))</f>
        <v>1.0</v>
      </c>
      <c r="W29" s="78" t="str">
        <f>IF(AND($D29&gt;0,W$6&gt;=$D29,W$6&lt;=$E29),1,IF(AND($F29&gt;0,W$6=$F29),"◆",""))</f>
        <v/>
      </c>
      <c r="X29" s="78" t="str">
        <f>IF(AND($D29&gt;0,X$6&gt;=$D29,X$6&lt;=$E29),1,IF(AND($F29&gt;0,X$6=$F29),"◆",""))</f>
        <v/>
      </c>
      <c r="Y29" s="78" t="str">
        <f>IF(AND($D29&gt;0,Y$6&gt;=$D29,Y$6&lt;=$E29),1,IF(AND($F29&gt;0,Y$6=$F29),"◆",""))</f>
        <v/>
      </c>
      <c r="Z29" s="78" t="str">
        <f>IF(AND($D29&gt;0,Z$6&gt;=$D29,Z$6&lt;=$E29),1,IF(AND($F29&gt;0,Z$6=$F29),"◆",""))</f>
        <v/>
      </c>
      <c r="AA29" s="78" t="str">
        <f>IF(AND($D29&gt;0,AA$6&gt;=$D29,AA$6&lt;=$E29),1,IF(AND($F29&gt;0,AA$6=$F29),"◆",""))</f>
        <v/>
      </c>
      <c r="AB29" s="78" t="str">
        <f>IF(AND($D29&gt;0,AB$6&gt;=$D29,AB$6&lt;=$E29),1,IF(AND($F29&gt;0,AB$6=$F29),"◆",""))</f>
        <v/>
      </c>
      <c r="AC29" s="78" t="str">
        <f>IF(AND($D29&gt;0,AC$6&gt;=$D29,AC$6&lt;=$E29),1,IF(AND($F29&gt;0,AC$6=$F29),"◆",""))</f>
        <v/>
      </c>
      <c r="AD29" s="78" t="str">
        <f>IF(AND($D29&gt;0,AD$6&gt;=$D29,AD$6&lt;=$E29),1,IF(AND($F29&gt;0,AD$6=$F29),"◆",""))</f>
        <v/>
      </c>
      <c r="AE29" s="78" t="str">
        <f>IF(AND($D29&gt;0,AE$6&gt;=$D29,AE$6&lt;=$E29),1,IF(AND($F29&gt;0,AE$6=$F29),"◆",""))</f>
        <v/>
      </c>
      <c r="AF29" s="78" t="str">
        <f>IF(AND($D29&gt;0,AF$6&gt;=$D29,AF$6&lt;=$E29),1,IF(AND($F29&gt;0,AF$6=$F29),"◆",""))</f>
        <v/>
      </c>
      <c r="AG29" s="78" t="str">
        <f>IF(AND($D29&gt;0,AG$6&gt;=$D29,AG$6&lt;=$E29),1,IF(AND($F29&gt;0,AG$6=$F29),"◆",""))</f>
        <v/>
      </c>
      <c r="AH29" s="78" t="str">
        <f>IF(AND($D29&gt;0,AH$6&gt;=$D29,AH$6&lt;=$E29),1,IF(AND($F29&gt;0,AH$6=$F29),"◆",""))</f>
        <v>◆</v>
      </c>
      <c r="AI29" s="78" t="str">
        <f>IF(AND($D29&gt;0,AI$6&gt;=$D29,AI$6&lt;=$E29),1,IF(AND($F29&gt;0,AI$6=$F29),"◆",""))</f>
        <v/>
      </c>
      <c r="AJ29" s="78" t="str">
        <f>IF(AND($D29&gt;0,AJ$6&gt;=$D29,AJ$6&lt;=$E29),1,IF(AND($F29&gt;0,AJ$6=$F29),"◆",""))</f>
        <v/>
      </c>
      <c r="AK29" s="78" t="str">
        <f>IF(AND($D29&gt;0,AK$6&gt;=$D29,AK$6&lt;=$E29),1,IF(AND($F29&gt;0,AK$6=$F29),"◆",""))</f>
        <v/>
      </c>
      <c r="AL29" s="78" t="str">
        <f>IF(AND($D29&gt;0,AL$6&gt;=$D29,AL$6&lt;=$E29),1,IF(AND($F29&gt;0,AL$6=$F29),"◆",""))</f>
        <v/>
      </c>
      <c r="AM29" s="78" t="str">
        <f>IF(AND($D29&gt;0,AM$6&gt;=$D29,AM$6&lt;=$E29),1,IF(AND($F29&gt;0,AM$6=$F29),"◆",""))</f>
        <v/>
      </c>
      <c r="AN29" s="78" t="str">
        <f>IF(AND($D29&gt;0,AN$6&gt;=$D29,AN$6&lt;=$E29),1,IF(AND($F29&gt;0,AN$6=$F29),"◆",""))</f>
        <v/>
      </c>
      <c r="AO29" s="78" t="str">
        <f>IF(AND($D29&gt;0,AO$6&gt;=$D29,AO$6&lt;=$E29),1,IF(AND($F29&gt;0,AO$6=$F29),"◆",""))</f>
        <v/>
      </c>
      <c r="AP29" s="78" t="str">
        <f>IF(AND($D29&gt;0,AP$6&gt;=$D29,AP$6&lt;=$E29),1,IF(AND($F29&gt;0,AP$6=$F29),"◆",""))</f>
        <v/>
      </c>
      <c r="AQ29" s="78" t="str">
        <f>IF(AND($D29&gt;0,AQ$6&gt;=$D29,AQ$6&lt;=$E29),1,IF(AND($F29&gt;0,AQ$6=$F29),"◆",""))</f>
        <v/>
      </c>
      <c r="AR29" s="78" t="str">
        <f>IF(AND($D29&gt;0,AR$6&gt;=$D29,AR$6&lt;=$E29),1,IF(AND($F29&gt;0,AR$6=$F29),"◆",""))</f>
        <v/>
      </c>
      <c r="AS29" s="78" t="str">
        <f>IF(AND($D29&gt;0,AS$6&gt;=$D29,AS$6&lt;=$E29),1,IF(AND($F29&gt;0,AS$6=$F29),"◆",""))</f>
        <v/>
      </c>
      <c r="AT29" s="78" t="str">
        <f>IF(AND($D29&gt;0,AT$6&gt;=$D29,AT$6&lt;=$E29),1,IF(AND($F29&gt;0,AT$6=$F29),"◆",""))</f>
        <v/>
      </c>
      <c r="AU29" s="78" t="str">
        <f>IF(AND($D29&gt;0,AU$6&gt;=$D29,AU$6&lt;=$E29),1,IF(AND($F29&gt;0,AU$6=$F29),"◆",""))</f>
        <v/>
      </c>
      <c r="AV29" s="78" t="str">
        <f>IF(AND($D29&gt;0,AV$6&gt;=$D29,AV$6&lt;=$E29),1,IF(AND($F29&gt;0,AV$6=$F29),"◆",""))</f>
        <v/>
      </c>
      <c r="AW29" s="78" t="str">
        <f>IF(AND($D29&gt;0,AW$6&gt;=$D29,AW$6&lt;=$E29),1,IF(AND($F29&gt;0,AW$6=$F29),"◆",""))</f>
        <v/>
      </c>
      <c r="AX29" s="78" t="str">
        <f>IF(AND($D29&gt;0,AX$6&gt;=$D29,AX$6&lt;=$E29),1,IF(AND($F29&gt;0,AX$6=$F29),"◆",""))</f>
        <v/>
      </c>
      <c r="AY29" s="78" t="str">
        <f>IF(AND($D29&gt;0,AY$6&gt;=$D29,AY$6&lt;=$E29),1,IF(AND($F29&gt;0,AY$6=$F29),"◆",""))</f>
        <v/>
      </c>
      <c r="AZ29" s="78" t="str">
        <f>IF(AND($D29&gt;0,AZ$6&gt;=$D29,AZ$6&lt;=$E29),1,IF(AND($F29&gt;0,AZ$6=$F29),"◆",""))</f>
        <v/>
      </c>
      <c r="BA29" s="78" t="str">
        <f>IF(AND($D29&gt;0,BA$6&gt;=$D29,BA$6&lt;=$E29),1,IF(AND($F29&gt;0,BA$6=$F29),"◆",""))</f>
        <v/>
      </c>
      <c r="BB29" s="78" t="str">
        <f>IF(AND($D29&gt;0,BB$6&gt;=$D29,BB$6&lt;=$E29),1,IF(AND($F29&gt;0,BB$6=$F29),"◆",""))</f>
        <v/>
      </c>
      <c r="BC29" s="78" t="str">
        <f>IF(AND($D29&gt;0,BC$6&gt;=$D29,BC$6&lt;=$E29),1,IF(AND($F29&gt;0,BC$6=$F29),"◆",""))</f>
        <v/>
      </c>
      <c r="BD29" s="78" t="str">
        <f>IF(AND($D29&gt;0,BD$6&gt;=$D29,BD$6&lt;=$E29),1,IF(AND($F29&gt;0,BD$6=$F29),"◆",""))</f>
        <v/>
      </c>
      <c r="BE29" s="78" t="str">
        <f>IF(AND($D29&gt;0,BE$6&gt;=$D29,BE$6&lt;=$E29),1,IF(AND($F29&gt;0,BE$6=$F29),"◆",""))</f>
        <v/>
      </c>
      <c r="BF29" s="78" t="str">
        <f>IF(AND($D29&gt;0,BF$6&gt;=$D29,BF$6&lt;=$E29),1,IF(AND($F29&gt;0,BF$6=$F29),"◆",""))</f>
        <v/>
      </c>
      <c r="BG29" s="78" t="str">
        <f>IF(AND($D29&gt;0,BG$6&gt;=$D29,BG$6&lt;=$E29),1,IF(AND($F29&gt;0,BG$6=$F29),"◆",""))</f>
        <v/>
      </c>
      <c r="BH29" s="78" t="str">
        <f>IF(AND($D29&gt;0,BH$6&gt;=$D29,BH$6&lt;=$E29),1,IF(AND($F29&gt;0,BH$6=$F29),"◆",""))</f>
        <v/>
      </c>
      <c r="BI29" s="78" t="str">
        <f>IF(AND($D29&gt;0,BI$6&gt;=$D29,BI$6&lt;=$E29),1,IF(AND($F29&gt;0,BI$6=$F29),"◆",""))</f>
        <v/>
      </c>
      <c r="BJ29" s="78" t="str">
        <f>IF(AND($D29&gt;0,BJ$6&gt;=$D29,BJ$6&lt;=$E29),1,IF(AND($F29&gt;0,BJ$6=$F29),"◆",""))</f>
        <v/>
      </c>
      <c r="BK29" s="78" t="str">
        <f>IF(AND($D29&gt;0,BK$6&gt;=$D29,BK$6&lt;=$E29),1,IF(AND($F29&gt;0,BK$6=$F29),"◆",""))</f>
        <v/>
      </c>
      <c r="BL29" s="78" t="str">
        <f>IF(AND($D29&gt;0,BL$6&gt;=$D29,BL$6&lt;=$E29),1,IF(AND($F29&gt;0,BL$6=$F29),"◆",""))</f>
        <v/>
      </c>
      <c r="BM29" s="78" t="str">
        <f>IF(AND($D29&gt;0,BM$6&gt;=$D29,BM$6&lt;=$E29),1,IF(AND($F29&gt;0,BM$6=$F29),"◆",""))</f>
        <v/>
      </c>
      <c r="BN29" s="78" t="str">
        <f>IF(AND($D29&gt;0,BN$6&gt;=$D29,BN$6&lt;=$E29),1,IF(AND($F29&gt;0,BN$6=$F29),"◆",""))</f>
        <v/>
      </c>
      <c r="BO29" s="78" t="str">
        <f>IF(AND($D29&gt;0,BO$6&gt;=$D29,BO$6&lt;=$E29),1,IF(AND($F29&gt;0,BO$6=$F29),"◆",""))</f>
        <v/>
      </c>
      <c r="BP29" s="78" t="str">
        <f>IF(AND($D29&gt;0,BP$6&gt;=$D29,BP$6&lt;=$E29),1,IF(AND($F29&gt;0,BP$6=$F29),"◆",""))</f>
        <v/>
      </c>
    </row>
    <row r="30">
      <c r="A30" s="75" t="str">
        <f>IF(INDEX(of_ref,24)="","",INDEX(of_num,24)&amp;"")</f>
        <v>OF-2612-024</v>
      </c>
      <c r="B30" s="75" t="str">
        <f>IF(INDEX(of_ref,24)="","",INDEX(of_des,24)&amp;"")</f>
        <v>Bague bronze Ø32</v>
      </c>
      <c r="C30" s="76" t="str">
        <f>IF(INDEX(of_ref,24)="","",INDEX(of_poste,24)&amp;"")</f>
        <v>TOUR</v>
      </c>
      <c r="D30" s="77">
        <f>INDEX(of_start,24)</f>
        <v>46350.0</v>
      </c>
      <c r="E30" s="77">
        <f>INDEX(of_end,24)</f>
        <v>46353.0</v>
      </c>
      <c r="F30" s="77">
        <f>IF(N(INDEX(of_need,24))=0,0,INDEX(of_need,24))</f>
        <v>46367.0</v>
      </c>
      <c r="G30" s="76" t="str">
        <f>IF(INDEX(of_ref,24)="","",INDEX(of_etat,24)&amp;"")</f>
        <v>À l'heure</v>
      </c>
      <c r="I30" s="78" t="str">
        <f>IF(AND($D30&gt;0,I$6&gt;=$D30,I$6&lt;=$E30),1,IF(AND($F30&gt;0,I$6=$F30),"◆",""))</f>
        <v/>
      </c>
      <c r="J30" s="78" t="str">
        <f>IF(AND($D30&gt;0,J$6&gt;=$D30,J$6&lt;=$E30),1,IF(AND($F30&gt;0,J$6=$F30),"◆",""))</f>
        <v/>
      </c>
      <c r="K30" s="78" t="str">
        <f>IF(AND($D30&gt;0,K$6&gt;=$D30,K$6&lt;=$E30),1,IF(AND($F30&gt;0,K$6=$F30),"◆",""))</f>
        <v/>
      </c>
      <c r="L30" s="78" t="str">
        <f>IF(AND($D30&gt;0,L$6&gt;=$D30,L$6&lt;=$E30),1,IF(AND($F30&gt;0,L$6=$F30),"◆",""))</f>
        <v/>
      </c>
      <c r="M30" s="78" t="str">
        <f>IF(AND($D30&gt;0,M$6&gt;=$D30,M$6&lt;=$E30),1,IF(AND($F30&gt;0,M$6=$F30),"◆",""))</f>
        <v/>
      </c>
      <c r="N30" s="78" t="str">
        <f>IF(AND($D30&gt;0,N$6&gt;=$D30,N$6&lt;=$E30),1,IF(AND($F30&gt;0,N$6=$F30),"◆",""))</f>
        <v/>
      </c>
      <c r="O30" s="78" t="str">
        <f>IF(AND($D30&gt;0,O$6&gt;=$D30,O$6&lt;=$E30),1,IF(AND($F30&gt;0,O$6=$F30),"◆",""))</f>
        <v/>
      </c>
      <c r="P30" s="78" t="str">
        <f>IF(AND($D30&gt;0,P$6&gt;=$D30,P$6&lt;=$E30),1,IF(AND($F30&gt;0,P$6=$F30),"◆",""))</f>
        <v/>
      </c>
      <c r="Q30" s="78" t="str">
        <f>IF(AND($D30&gt;0,Q$6&gt;=$D30,Q$6&lt;=$E30),1,IF(AND($F30&gt;0,Q$6=$F30),"◆",""))</f>
        <v/>
      </c>
      <c r="R30" s="78" t="str">
        <f>IF(AND($D30&gt;0,R$6&gt;=$D30,R$6&lt;=$E30),1,IF(AND($F30&gt;0,R$6=$F30),"◆",""))</f>
        <v/>
      </c>
      <c r="S30" s="78" t="str">
        <f>IF(AND($D30&gt;0,S$6&gt;=$D30,S$6&lt;=$E30),1,IF(AND($F30&gt;0,S$6=$F30),"◆",""))</f>
        <v/>
      </c>
      <c r="T30" s="78" t="str">
        <f>IF(AND($D30&gt;0,T$6&gt;=$D30,T$6&lt;=$E30),1,IF(AND($F30&gt;0,T$6=$F30),"◆",""))</f>
        <v/>
      </c>
      <c r="U30" s="78" t="str">
        <f>IF(AND($D30&gt;0,U$6&gt;=$D30,U$6&lt;=$E30),1,IF(AND($F30&gt;0,U$6=$F30),"◆",""))</f>
        <v/>
      </c>
      <c r="V30" s="78" t="str">
        <f>IF(AND($D30&gt;0,V$6&gt;=$D30,V$6&lt;=$E30),1,IF(AND($F30&gt;0,V$6=$F30),"◆",""))</f>
        <v/>
      </c>
      <c r="W30" s="78">
        <f>IF(AND($D30&gt;0,W$6&gt;=$D30,W$6&lt;=$E30),1,IF(AND($F30&gt;0,W$6=$F30),"◆",""))</f>
        <v>1.0</v>
      </c>
      <c r="X30" s="78">
        <f>IF(AND($D30&gt;0,X$6&gt;=$D30,X$6&lt;=$E30),1,IF(AND($F30&gt;0,X$6=$F30),"◆",""))</f>
        <v>1.0</v>
      </c>
      <c r="Y30" s="78">
        <f>IF(AND($D30&gt;0,Y$6&gt;=$D30,Y$6&lt;=$E30),1,IF(AND($F30&gt;0,Y$6=$F30),"◆",""))</f>
        <v>1.0</v>
      </c>
      <c r="Z30" s="78">
        <f>IF(AND($D30&gt;0,Z$6&gt;=$D30,Z$6&lt;=$E30),1,IF(AND($F30&gt;0,Z$6=$F30),"◆",""))</f>
        <v>1.0</v>
      </c>
      <c r="AA30" s="78" t="str">
        <f>IF(AND($D30&gt;0,AA$6&gt;=$D30,AA$6&lt;=$E30),1,IF(AND($F30&gt;0,AA$6=$F30),"◆",""))</f>
        <v/>
      </c>
      <c r="AB30" s="78" t="str">
        <f>IF(AND($D30&gt;0,AB$6&gt;=$D30,AB$6&lt;=$E30),1,IF(AND($F30&gt;0,AB$6=$F30),"◆",""))</f>
        <v/>
      </c>
      <c r="AC30" s="78" t="str">
        <f>IF(AND($D30&gt;0,AC$6&gt;=$D30,AC$6&lt;=$E30),1,IF(AND($F30&gt;0,AC$6=$F30),"◆",""))</f>
        <v/>
      </c>
      <c r="AD30" s="78" t="str">
        <f>IF(AND($D30&gt;0,AD$6&gt;=$D30,AD$6&lt;=$E30),1,IF(AND($F30&gt;0,AD$6=$F30),"◆",""))</f>
        <v/>
      </c>
      <c r="AE30" s="78" t="str">
        <f>IF(AND($D30&gt;0,AE$6&gt;=$D30,AE$6&lt;=$E30),1,IF(AND($F30&gt;0,AE$6=$F30),"◆",""))</f>
        <v/>
      </c>
      <c r="AF30" s="78" t="str">
        <f>IF(AND($D30&gt;0,AF$6&gt;=$D30,AF$6&lt;=$E30),1,IF(AND($F30&gt;0,AF$6=$F30),"◆",""))</f>
        <v/>
      </c>
      <c r="AG30" s="78" t="str">
        <f>IF(AND($D30&gt;0,AG$6&gt;=$D30,AG$6&lt;=$E30),1,IF(AND($F30&gt;0,AG$6=$F30),"◆",""))</f>
        <v/>
      </c>
      <c r="AH30" s="78" t="str">
        <f>IF(AND($D30&gt;0,AH$6&gt;=$D30,AH$6&lt;=$E30),1,IF(AND($F30&gt;0,AH$6=$F30),"◆",""))</f>
        <v/>
      </c>
      <c r="AI30" s="78" t="str">
        <f>IF(AND($D30&gt;0,AI$6&gt;=$D30,AI$6&lt;=$E30),1,IF(AND($F30&gt;0,AI$6=$F30),"◆",""))</f>
        <v/>
      </c>
      <c r="AJ30" s="78" t="str">
        <f>IF(AND($D30&gt;0,AJ$6&gt;=$D30,AJ$6&lt;=$E30),1,IF(AND($F30&gt;0,AJ$6=$F30),"◆",""))</f>
        <v>◆</v>
      </c>
      <c r="AK30" s="78" t="str">
        <f>IF(AND($D30&gt;0,AK$6&gt;=$D30,AK$6&lt;=$E30),1,IF(AND($F30&gt;0,AK$6=$F30),"◆",""))</f>
        <v/>
      </c>
      <c r="AL30" s="78" t="str">
        <f>IF(AND($D30&gt;0,AL$6&gt;=$D30,AL$6&lt;=$E30),1,IF(AND($F30&gt;0,AL$6=$F30),"◆",""))</f>
        <v/>
      </c>
      <c r="AM30" s="78" t="str">
        <f>IF(AND($D30&gt;0,AM$6&gt;=$D30,AM$6&lt;=$E30),1,IF(AND($F30&gt;0,AM$6=$F30),"◆",""))</f>
        <v/>
      </c>
      <c r="AN30" s="78" t="str">
        <f>IF(AND($D30&gt;0,AN$6&gt;=$D30,AN$6&lt;=$E30),1,IF(AND($F30&gt;0,AN$6=$F30),"◆",""))</f>
        <v/>
      </c>
      <c r="AO30" s="78" t="str">
        <f>IF(AND($D30&gt;0,AO$6&gt;=$D30,AO$6&lt;=$E30),1,IF(AND($F30&gt;0,AO$6=$F30),"◆",""))</f>
        <v/>
      </c>
      <c r="AP30" s="78" t="str">
        <f>IF(AND($D30&gt;0,AP$6&gt;=$D30,AP$6&lt;=$E30),1,IF(AND($F30&gt;0,AP$6=$F30),"◆",""))</f>
        <v/>
      </c>
      <c r="AQ30" s="78" t="str">
        <f>IF(AND($D30&gt;0,AQ$6&gt;=$D30,AQ$6&lt;=$E30),1,IF(AND($F30&gt;0,AQ$6=$F30),"◆",""))</f>
        <v/>
      </c>
      <c r="AR30" s="78" t="str">
        <f>IF(AND($D30&gt;0,AR$6&gt;=$D30,AR$6&lt;=$E30),1,IF(AND($F30&gt;0,AR$6=$F30),"◆",""))</f>
        <v/>
      </c>
      <c r="AS30" s="78" t="str">
        <f>IF(AND($D30&gt;0,AS$6&gt;=$D30,AS$6&lt;=$E30),1,IF(AND($F30&gt;0,AS$6=$F30),"◆",""))</f>
        <v/>
      </c>
      <c r="AT30" s="78" t="str">
        <f>IF(AND($D30&gt;0,AT$6&gt;=$D30,AT$6&lt;=$E30),1,IF(AND($F30&gt;0,AT$6=$F30),"◆",""))</f>
        <v/>
      </c>
      <c r="AU30" s="78" t="str">
        <f>IF(AND($D30&gt;0,AU$6&gt;=$D30,AU$6&lt;=$E30),1,IF(AND($F30&gt;0,AU$6=$F30),"◆",""))</f>
        <v/>
      </c>
      <c r="AV30" s="78" t="str">
        <f>IF(AND($D30&gt;0,AV$6&gt;=$D30,AV$6&lt;=$E30),1,IF(AND($F30&gt;0,AV$6=$F30),"◆",""))</f>
        <v/>
      </c>
      <c r="AW30" s="78" t="str">
        <f>IF(AND($D30&gt;0,AW$6&gt;=$D30,AW$6&lt;=$E30),1,IF(AND($F30&gt;0,AW$6=$F30),"◆",""))</f>
        <v/>
      </c>
      <c r="AX30" s="78" t="str">
        <f>IF(AND($D30&gt;0,AX$6&gt;=$D30,AX$6&lt;=$E30),1,IF(AND($F30&gt;0,AX$6=$F30),"◆",""))</f>
        <v/>
      </c>
      <c r="AY30" s="78" t="str">
        <f>IF(AND($D30&gt;0,AY$6&gt;=$D30,AY$6&lt;=$E30),1,IF(AND($F30&gt;0,AY$6=$F30),"◆",""))</f>
        <v/>
      </c>
      <c r="AZ30" s="78" t="str">
        <f>IF(AND($D30&gt;0,AZ$6&gt;=$D30,AZ$6&lt;=$E30),1,IF(AND($F30&gt;0,AZ$6=$F30),"◆",""))</f>
        <v/>
      </c>
      <c r="BA30" s="78" t="str">
        <f>IF(AND($D30&gt;0,BA$6&gt;=$D30,BA$6&lt;=$E30),1,IF(AND($F30&gt;0,BA$6=$F30),"◆",""))</f>
        <v/>
      </c>
      <c r="BB30" s="78" t="str">
        <f>IF(AND($D30&gt;0,BB$6&gt;=$D30,BB$6&lt;=$E30),1,IF(AND($F30&gt;0,BB$6=$F30),"◆",""))</f>
        <v/>
      </c>
      <c r="BC30" s="78" t="str">
        <f>IF(AND($D30&gt;0,BC$6&gt;=$D30,BC$6&lt;=$E30),1,IF(AND($F30&gt;0,BC$6=$F30),"◆",""))</f>
        <v/>
      </c>
      <c r="BD30" s="78" t="str">
        <f>IF(AND($D30&gt;0,BD$6&gt;=$D30,BD$6&lt;=$E30),1,IF(AND($F30&gt;0,BD$6=$F30),"◆",""))</f>
        <v/>
      </c>
      <c r="BE30" s="78" t="str">
        <f>IF(AND($D30&gt;0,BE$6&gt;=$D30,BE$6&lt;=$E30),1,IF(AND($F30&gt;0,BE$6=$F30),"◆",""))</f>
        <v/>
      </c>
      <c r="BF30" s="78" t="str">
        <f>IF(AND($D30&gt;0,BF$6&gt;=$D30,BF$6&lt;=$E30),1,IF(AND($F30&gt;0,BF$6=$F30),"◆",""))</f>
        <v/>
      </c>
      <c r="BG30" s="78" t="str">
        <f>IF(AND($D30&gt;0,BG$6&gt;=$D30,BG$6&lt;=$E30),1,IF(AND($F30&gt;0,BG$6=$F30),"◆",""))</f>
        <v/>
      </c>
      <c r="BH30" s="78" t="str">
        <f>IF(AND($D30&gt;0,BH$6&gt;=$D30,BH$6&lt;=$E30),1,IF(AND($F30&gt;0,BH$6=$F30),"◆",""))</f>
        <v/>
      </c>
      <c r="BI30" s="78" t="str">
        <f>IF(AND($D30&gt;0,BI$6&gt;=$D30,BI$6&lt;=$E30),1,IF(AND($F30&gt;0,BI$6=$F30),"◆",""))</f>
        <v/>
      </c>
      <c r="BJ30" s="78" t="str">
        <f>IF(AND($D30&gt;0,BJ$6&gt;=$D30,BJ$6&lt;=$E30),1,IF(AND($F30&gt;0,BJ$6=$F30),"◆",""))</f>
        <v/>
      </c>
      <c r="BK30" s="78" t="str">
        <f>IF(AND($D30&gt;0,BK$6&gt;=$D30,BK$6&lt;=$E30),1,IF(AND($F30&gt;0,BK$6=$F30),"◆",""))</f>
        <v/>
      </c>
      <c r="BL30" s="78" t="str">
        <f>IF(AND($D30&gt;0,BL$6&gt;=$D30,BL$6&lt;=$E30),1,IF(AND($F30&gt;0,BL$6=$F30),"◆",""))</f>
        <v/>
      </c>
      <c r="BM30" s="78" t="str">
        <f>IF(AND($D30&gt;0,BM$6&gt;=$D30,BM$6&lt;=$E30),1,IF(AND($F30&gt;0,BM$6=$F30),"◆",""))</f>
        <v/>
      </c>
      <c r="BN30" s="78" t="str">
        <f>IF(AND($D30&gt;0,BN$6&gt;=$D30,BN$6&lt;=$E30),1,IF(AND($F30&gt;0,BN$6=$F30),"◆",""))</f>
        <v/>
      </c>
      <c r="BO30" s="78" t="str">
        <f>IF(AND($D30&gt;0,BO$6&gt;=$D30,BO$6&lt;=$E30),1,IF(AND($F30&gt;0,BO$6=$F30),"◆",""))</f>
        <v/>
      </c>
      <c r="BP30" s="78" t="str">
        <f>IF(AND($D30&gt;0,BP$6&gt;=$D30,BP$6&lt;=$E30),1,IF(AND($F30&gt;0,BP$6=$F30),"◆",""))</f>
        <v/>
      </c>
    </row>
    <row r="31">
      <c r="A31" s="75" t="str">
        <f>IF(INDEX(of_ref,25)="","",INDEX(of_num,25)&amp;"")</f>
        <v>OF-2612-025</v>
      </c>
      <c r="B31" s="75" t="str">
        <f>IF(INDEX(of_ref,25)="","",INDEX(of_des,25)&amp;"")</f>
        <v>Kit attelage monté</v>
      </c>
      <c r="C31" s="76" t="str">
        <f>IF(INDEX(of_ref,25)="","",INDEX(of_poste,25)&amp;"")</f>
        <v>MONT</v>
      </c>
      <c r="D31" s="77">
        <f>INDEX(of_start,25)</f>
        <v>46336.0</v>
      </c>
      <c r="E31" s="77">
        <f>INDEX(of_end,25)</f>
        <v>46345.0</v>
      </c>
      <c r="F31" s="77">
        <f>IF(N(INDEX(of_need,25))=0,0,INDEX(of_need,25))</f>
        <v>46366.0</v>
      </c>
      <c r="G31" s="76" t="str">
        <f>IF(INDEX(of_ref,25)="","",INDEX(of_etat,25)&amp;"")</f>
        <v>À l'heure</v>
      </c>
      <c r="I31" s="78" t="str">
        <f>IF(AND($D31&gt;0,I$6&gt;=$D31,I$6&lt;=$E31),1,IF(AND($F31&gt;0,I$6=$F31),"◆",""))</f>
        <v/>
      </c>
      <c r="J31" s="78" t="str">
        <f>IF(AND($D31&gt;0,J$6&gt;=$D31,J$6&lt;=$E31),1,IF(AND($F31&gt;0,J$6=$F31),"◆",""))</f>
        <v/>
      </c>
      <c r="K31" s="78" t="str">
        <f>IF(AND($D31&gt;0,K$6&gt;=$D31,K$6&lt;=$E31),1,IF(AND($F31&gt;0,K$6=$F31),"◆",""))</f>
        <v/>
      </c>
      <c r="L31" s="78" t="str">
        <f>IF(AND($D31&gt;0,L$6&gt;=$D31,L$6&lt;=$E31),1,IF(AND($F31&gt;0,L$6=$F31),"◆",""))</f>
        <v/>
      </c>
      <c r="M31" s="78" t="str">
        <f>IF(AND($D31&gt;0,M$6&gt;=$D31,M$6&lt;=$E31),1,IF(AND($F31&gt;0,M$6=$F31),"◆",""))</f>
        <v/>
      </c>
      <c r="N31" s="78">
        <f>IF(AND($D31&gt;0,N$6&gt;=$D31,N$6&lt;=$E31),1,IF(AND($F31&gt;0,N$6=$F31),"◆",""))</f>
        <v>1.0</v>
      </c>
      <c r="O31" s="78">
        <f>IF(AND($D31&gt;0,O$6&gt;=$D31,O$6&lt;=$E31),1,IF(AND($F31&gt;0,O$6=$F31),"◆",""))</f>
        <v>1.0</v>
      </c>
      <c r="P31" s="78">
        <f>IF(AND($D31&gt;0,P$6&gt;=$D31,P$6&lt;=$E31),1,IF(AND($F31&gt;0,P$6=$F31),"◆",""))</f>
        <v>1.0</v>
      </c>
      <c r="Q31" s="78">
        <f>IF(AND($D31&gt;0,Q$6&gt;=$D31,Q$6&lt;=$E31),1,IF(AND($F31&gt;0,Q$6=$F31),"◆",""))</f>
        <v>1.0</v>
      </c>
      <c r="R31" s="78">
        <f>IF(AND($D31&gt;0,R$6&gt;=$D31,R$6&lt;=$E31),1,IF(AND($F31&gt;0,R$6=$F31),"◆",""))</f>
        <v>1.0</v>
      </c>
      <c r="S31" s="78">
        <f>IF(AND($D31&gt;0,S$6&gt;=$D31,S$6&lt;=$E31),1,IF(AND($F31&gt;0,S$6=$F31),"◆",""))</f>
        <v>1.0</v>
      </c>
      <c r="T31" s="78">
        <f>IF(AND($D31&gt;0,T$6&gt;=$D31,T$6&lt;=$E31),1,IF(AND($F31&gt;0,T$6=$F31),"◆",""))</f>
        <v>1.0</v>
      </c>
      <c r="U31" s="78" t="str">
        <f>IF(AND($D31&gt;0,U$6&gt;=$D31,U$6&lt;=$E31),1,IF(AND($F31&gt;0,U$6=$F31),"◆",""))</f>
        <v/>
      </c>
      <c r="V31" s="78" t="str">
        <f>IF(AND($D31&gt;0,V$6&gt;=$D31,V$6&lt;=$E31),1,IF(AND($F31&gt;0,V$6=$F31),"◆",""))</f>
        <v/>
      </c>
      <c r="W31" s="78" t="str">
        <f>IF(AND($D31&gt;0,W$6&gt;=$D31,W$6&lt;=$E31),1,IF(AND($F31&gt;0,W$6=$F31),"◆",""))</f>
        <v/>
      </c>
      <c r="X31" s="78" t="str">
        <f>IF(AND($D31&gt;0,X$6&gt;=$D31,X$6&lt;=$E31),1,IF(AND($F31&gt;0,X$6=$F31),"◆",""))</f>
        <v/>
      </c>
      <c r="Y31" s="78" t="str">
        <f>IF(AND($D31&gt;0,Y$6&gt;=$D31,Y$6&lt;=$E31),1,IF(AND($F31&gt;0,Y$6=$F31),"◆",""))</f>
        <v/>
      </c>
      <c r="Z31" s="78" t="str">
        <f>IF(AND($D31&gt;0,Z$6&gt;=$D31,Z$6&lt;=$E31),1,IF(AND($F31&gt;0,Z$6=$F31),"◆",""))</f>
        <v/>
      </c>
      <c r="AA31" s="78" t="str">
        <f>IF(AND($D31&gt;0,AA$6&gt;=$D31,AA$6&lt;=$E31),1,IF(AND($F31&gt;0,AA$6=$F31),"◆",""))</f>
        <v/>
      </c>
      <c r="AB31" s="78" t="str">
        <f>IF(AND($D31&gt;0,AB$6&gt;=$D31,AB$6&lt;=$E31),1,IF(AND($F31&gt;0,AB$6=$F31),"◆",""))</f>
        <v/>
      </c>
      <c r="AC31" s="78" t="str">
        <f>IF(AND($D31&gt;0,AC$6&gt;=$D31,AC$6&lt;=$E31),1,IF(AND($F31&gt;0,AC$6=$F31),"◆",""))</f>
        <v/>
      </c>
      <c r="AD31" s="78" t="str">
        <f>IF(AND($D31&gt;0,AD$6&gt;=$D31,AD$6&lt;=$E31),1,IF(AND($F31&gt;0,AD$6=$F31),"◆",""))</f>
        <v/>
      </c>
      <c r="AE31" s="78" t="str">
        <f>IF(AND($D31&gt;0,AE$6&gt;=$D31,AE$6&lt;=$E31),1,IF(AND($F31&gt;0,AE$6=$F31),"◆",""))</f>
        <v/>
      </c>
      <c r="AF31" s="78" t="str">
        <f>IF(AND($D31&gt;0,AF$6&gt;=$D31,AF$6&lt;=$E31),1,IF(AND($F31&gt;0,AF$6=$F31),"◆",""))</f>
        <v/>
      </c>
      <c r="AG31" s="78" t="str">
        <f>IF(AND($D31&gt;0,AG$6&gt;=$D31,AG$6&lt;=$E31),1,IF(AND($F31&gt;0,AG$6=$F31),"◆",""))</f>
        <v/>
      </c>
      <c r="AH31" s="78" t="str">
        <f>IF(AND($D31&gt;0,AH$6&gt;=$D31,AH$6&lt;=$E31),1,IF(AND($F31&gt;0,AH$6=$F31),"◆",""))</f>
        <v/>
      </c>
      <c r="AI31" s="78" t="str">
        <f>IF(AND($D31&gt;0,AI$6&gt;=$D31,AI$6&lt;=$E31),1,IF(AND($F31&gt;0,AI$6=$F31),"◆",""))</f>
        <v>◆</v>
      </c>
      <c r="AJ31" s="78" t="str">
        <f>IF(AND($D31&gt;0,AJ$6&gt;=$D31,AJ$6&lt;=$E31),1,IF(AND($F31&gt;0,AJ$6=$F31),"◆",""))</f>
        <v/>
      </c>
      <c r="AK31" s="78" t="str">
        <f>IF(AND($D31&gt;0,AK$6&gt;=$D31,AK$6&lt;=$E31),1,IF(AND($F31&gt;0,AK$6=$F31),"◆",""))</f>
        <v/>
      </c>
      <c r="AL31" s="78" t="str">
        <f>IF(AND($D31&gt;0,AL$6&gt;=$D31,AL$6&lt;=$E31),1,IF(AND($F31&gt;0,AL$6=$F31),"◆",""))</f>
        <v/>
      </c>
      <c r="AM31" s="78" t="str">
        <f>IF(AND($D31&gt;0,AM$6&gt;=$D31,AM$6&lt;=$E31),1,IF(AND($F31&gt;0,AM$6=$F31),"◆",""))</f>
        <v/>
      </c>
      <c r="AN31" s="78" t="str">
        <f>IF(AND($D31&gt;0,AN$6&gt;=$D31,AN$6&lt;=$E31),1,IF(AND($F31&gt;0,AN$6=$F31),"◆",""))</f>
        <v/>
      </c>
      <c r="AO31" s="78" t="str">
        <f>IF(AND($D31&gt;0,AO$6&gt;=$D31,AO$6&lt;=$E31),1,IF(AND($F31&gt;0,AO$6=$F31),"◆",""))</f>
        <v/>
      </c>
      <c r="AP31" s="78" t="str">
        <f>IF(AND($D31&gt;0,AP$6&gt;=$D31,AP$6&lt;=$E31),1,IF(AND($F31&gt;0,AP$6=$F31),"◆",""))</f>
        <v/>
      </c>
      <c r="AQ31" s="78" t="str">
        <f>IF(AND($D31&gt;0,AQ$6&gt;=$D31,AQ$6&lt;=$E31),1,IF(AND($F31&gt;0,AQ$6=$F31),"◆",""))</f>
        <v/>
      </c>
      <c r="AR31" s="78" t="str">
        <f>IF(AND($D31&gt;0,AR$6&gt;=$D31,AR$6&lt;=$E31),1,IF(AND($F31&gt;0,AR$6=$F31),"◆",""))</f>
        <v/>
      </c>
      <c r="AS31" s="78" t="str">
        <f>IF(AND($D31&gt;0,AS$6&gt;=$D31,AS$6&lt;=$E31),1,IF(AND($F31&gt;0,AS$6=$F31),"◆",""))</f>
        <v/>
      </c>
      <c r="AT31" s="78" t="str">
        <f>IF(AND($D31&gt;0,AT$6&gt;=$D31,AT$6&lt;=$E31),1,IF(AND($F31&gt;0,AT$6=$F31),"◆",""))</f>
        <v/>
      </c>
      <c r="AU31" s="78" t="str">
        <f>IF(AND($D31&gt;0,AU$6&gt;=$D31,AU$6&lt;=$E31),1,IF(AND($F31&gt;0,AU$6=$F31),"◆",""))</f>
        <v/>
      </c>
      <c r="AV31" s="78" t="str">
        <f>IF(AND($D31&gt;0,AV$6&gt;=$D31,AV$6&lt;=$E31),1,IF(AND($F31&gt;0,AV$6=$F31),"◆",""))</f>
        <v/>
      </c>
      <c r="AW31" s="78" t="str">
        <f>IF(AND($D31&gt;0,AW$6&gt;=$D31,AW$6&lt;=$E31),1,IF(AND($F31&gt;0,AW$6=$F31),"◆",""))</f>
        <v/>
      </c>
      <c r="AX31" s="78" t="str">
        <f>IF(AND($D31&gt;0,AX$6&gt;=$D31,AX$6&lt;=$E31),1,IF(AND($F31&gt;0,AX$6=$F31),"◆",""))</f>
        <v/>
      </c>
      <c r="AY31" s="78" t="str">
        <f>IF(AND($D31&gt;0,AY$6&gt;=$D31,AY$6&lt;=$E31),1,IF(AND($F31&gt;0,AY$6=$F31),"◆",""))</f>
        <v/>
      </c>
      <c r="AZ31" s="78" t="str">
        <f>IF(AND($D31&gt;0,AZ$6&gt;=$D31,AZ$6&lt;=$E31),1,IF(AND($F31&gt;0,AZ$6=$F31),"◆",""))</f>
        <v/>
      </c>
      <c r="BA31" s="78" t="str">
        <f>IF(AND($D31&gt;0,BA$6&gt;=$D31,BA$6&lt;=$E31),1,IF(AND($F31&gt;0,BA$6=$F31),"◆",""))</f>
        <v/>
      </c>
      <c r="BB31" s="78" t="str">
        <f>IF(AND($D31&gt;0,BB$6&gt;=$D31,BB$6&lt;=$E31),1,IF(AND($F31&gt;0,BB$6=$F31),"◆",""))</f>
        <v/>
      </c>
      <c r="BC31" s="78" t="str">
        <f>IF(AND($D31&gt;0,BC$6&gt;=$D31,BC$6&lt;=$E31),1,IF(AND($F31&gt;0,BC$6=$F31),"◆",""))</f>
        <v/>
      </c>
      <c r="BD31" s="78" t="str">
        <f>IF(AND($D31&gt;0,BD$6&gt;=$D31,BD$6&lt;=$E31),1,IF(AND($F31&gt;0,BD$6=$F31),"◆",""))</f>
        <v/>
      </c>
      <c r="BE31" s="78" t="str">
        <f>IF(AND($D31&gt;0,BE$6&gt;=$D31,BE$6&lt;=$E31),1,IF(AND($F31&gt;0,BE$6=$F31),"◆",""))</f>
        <v/>
      </c>
      <c r="BF31" s="78" t="str">
        <f>IF(AND($D31&gt;0,BF$6&gt;=$D31,BF$6&lt;=$E31),1,IF(AND($F31&gt;0,BF$6=$F31),"◆",""))</f>
        <v/>
      </c>
      <c r="BG31" s="78" t="str">
        <f>IF(AND($D31&gt;0,BG$6&gt;=$D31,BG$6&lt;=$E31),1,IF(AND($F31&gt;0,BG$6=$F31),"◆",""))</f>
        <v/>
      </c>
      <c r="BH31" s="78" t="str">
        <f>IF(AND($D31&gt;0,BH$6&gt;=$D31,BH$6&lt;=$E31),1,IF(AND($F31&gt;0,BH$6=$F31),"◆",""))</f>
        <v/>
      </c>
      <c r="BI31" s="78" t="str">
        <f>IF(AND($D31&gt;0,BI$6&gt;=$D31,BI$6&lt;=$E31),1,IF(AND($F31&gt;0,BI$6=$F31),"◆",""))</f>
        <v/>
      </c>
      <c r="BJ31" s="78" t="str">
        <f>IF(AND($D31&gt;0,BJ$6&gt;=$D31,BJ$6&lt;=$E31),1,IF(AND($F31&gt;0,BJ$6=$F31),"◆",""))</f>
        <v/>
      </c>
      <c r="BK31" s="78" t="str">
        <f>IF(AND($D31&gt;0,BK$6&gt;=$D31,BK$6&lt;=$E31),1,IF(AND($F31&gt;0,BK$6=$F31),"◆",""))</f>
        <v/>
      </c>
      <c r="BL31" s="78" t="str">
        <f>IF(AND($D31&gt;0,BL$6&gt;=$D31,BL$6&lt;=$E31),1,IF(AND($F31&gt;0,BL$6=$F31),"◆",""))</f>
        <v/>
      </c>
      <c r="BM31" s="78" t="str">
        <f>IF(AND($D31&gt;0,BM$6&gt;=$D31,BM$6&lt;=$E31),1,IF(AND($F31&gt;0,BM$6=$F31),"◆",""))</f>
        <v/>
      </c>
      <c r="BN31" s="78" t="str">
        <f>IF(AND($D31&gt;0,BN$6&gt;=$D31,BN$6&lt;=$E31),1,IF(AND($F31&gt;0,BN$6=$F31),"◆",""))</f>
        <v/>
      </c>
      <c r="BO31" s="78" t="str">
        <f>IF(AND($D31&gt;0,BO$6&gt;=$D31,BO$6&lt;=$E31),1,IF(AND($F31&gt;0,BO$6=$F31),"◆",""))</f>
        <v/>
      </c>
      <c r="BP31" s="78" t="str">
        <f>IF(AND($D31&gt;0,BP$6&gt;=$D31,BP$6&lt;=$E31),1,IF(AND($F31&gt;0,BP$6=$F31),"◆",""))</f>
        <v/>
      </c>
    </row>
    <row r="32">
      <c r="A32" s="75" t="str">
        <f>IF(INDEX(of_ref,26)="","",INDEX(of_num,26)&amp;"")</f>
        <v>OF-2612-026</v>
      </c>
      <c r="B32" s="75" t="str">
        <f>IF(INDEX(of_ref,26)="","",INDEX(of_des,26)&amp;"")</f>
        <v>Patte de fixation pliée</v>
      </c>
      <c r="C32" s="76" t="str">
        <f>IF(INDEX(of_ref,26)="","",INDEX(of_poste,26)&amp;"")</f>
        <v>PLIE</v>
      </c>
      <c r="D32" s="77">
        <f>INDEX(of_start,26)</f>
        <v>46346.0</v>
      </c>
      <c r="E32" s="77">
        <f>INDEX(of_end,26)</f>
        <v>46353.0</v>
      </c>
      <c r="F32" s="77">
        <f>IF(N(INDEX(of_need,26))=0,0,INDEX(of_need,26))</f>
        <v>46370.0</v>
      </c>
      <c r="G32" s="76" t="str">
        <f>IF(INDEX(of_ref,26)="","",INDEX(of_etat,26)&amp;"")</f>
        <v>À l'heure</v>
      </c>
      <c r="I32" s="78" t="str">
        <f>IF(AND($D32&gt;0,I$6&gt;=$D32,I$6&lt;=$E32),1,IF(AND($F32&gt;0,I$6=$F32),"◆",""))</f>
        <v/>
      </c>
      <c r="J32" s="78" t="str">
        <f>IF(AND($D32&gt;0,J$6&gt;=$D32,J$6&lt;=$E32),1,IF(AND($F32&gt;0,J$6=$F32),"◆",""))</f>
        <v/>
      </c>
      <c r="K32" s="78" t="str">
        <f>IF(AND($D32&gt;0,K$6&gt;=$D32,K$6&lt;=$E32),1,IF(AND($F32&gt;0,K$6=$F32),"◆",""))</f>
        <v/>
      </c>
      <c r="L32" s="78" t="str">
        <f>IF(AND($D32&gt;0,L$6&gt;=$D32,L$6&lt;=$E32),1,IF(AND($F32&gt;0,L$6=$F32),"◆",""))</f>
        <v/>
      </c>
      <c r="M32" s="78" t="str">
        <f>IF(AND($D32&gt;0,M$6&gt;=$D32,M$6&lt;=$E32),1,IF(AND($F32&gt;0,M$6=$F32),"◆",""))</f>
        <v/>
      </c>
      <c r="N32" s="78" t="str">
        <f>IF(AND($D32&gt;0,N$6&gt;=$D32,N$6&lt;=$E32),1,IF(AND($F32&gt;0,N$6=$F32),"◆",""))</f>
        <v/>
      </c>
      <c r="O32" s="78" t="str">
        <f>IF(AND($D32&gt;0,O$6&gt;=$D32,O$6&lt;=$E32),1,IF(AND($F32&gt;0,O$6=$F32),"◆",""))</f>
        <v/>
      </c>
      <c r="P32" s="78" t="str">
        <f>IF(AND($D32&gt;0,P$6&gt;=$D32,P$6&lt;=$E32),1,IF(AND($F32&gt;0,P$6=$F32),"◆",""))</f>
        <v/>
      </c>
      <c r="Q32" s="78" t="str">
        <f>IF(AND($D32&gt;0,Q$6&gt;=$D32,Q$6&lt;=$E32),1,IF(AND($F32&gt;0,Q$6=$F32),"◆",""))</f>
        <v/>
      </c>
      <c r="R32" s="78" t="str">
        <f>IF(AND($D32&gt;0,R$6&gt;=$D32,R$6&lt;=$E32),1,IF(AND($F32&gt;0,R$6=$F32),"◆",""))</f>
        <v/>
      </c>
      <c r="S32" s="78" t="str">
        <f>IF(AND($D32&gt;0,S$6&gt;=$D32,S$6&lt;=$E32),1,IF(AND($F32&gt;0,S$6=$F32),"◆",""))</f>
        <v/>
      </c>
      <c r="T32" s="78" t="str">
        <f>IF(AND($D32&gt;0,T$6&gt;=$D32,T$6&lt;=$E32),1,IF(AND($F32&gt;0,T$6=$F32),"◆",""))</f>
        <v/>
      </c>
      <c r="U32" s="78">
        <f>IF(AND($D32&gt;0,U$6&gt;=$D32,U$6&lt;=$E32),1,IF(AND($F32&gt;0,U$6=$F32),"◆",""))</f>
        <v>1.0</v>
      </c>
      <c r="V32" s="78">
        <f>IF(AND($D32&gt;0,V$6&gt;=$D32,V$6&lt;=$E32),1,IF(AND($F32&gt;0,V$6=$F32),"◆",""))</f>
        <v>1.0</v>
      </c>
      <c r="W32" s="78">
        <f>IF(AND($D32&gt;0,W$6&gt;=$D32,W$6&lt;=$E32),1,IF(AND($F32&gt;0,W$6=$F32),"◆",""))</f>
        <v>1.0</v>
      </c>
      <c r="X32" s="78">
        <f>IF(AND($D32&gt;0,X$6&gt;=$D32,X$6&lt;=$E32),1,IF(AND($F32&gt;0,X$6=$F32),"◆",""))</f>
        <v>1.0</v>
      </c>
      <c r="Y32" s="78">
        <f>IF(AND($D32&gt;0,Y$6&gt;=$D32,Y$6&lt;=$E32),1,IF(AND($F32&gt;0,Y$6=$F32),"◆",""))</f>
        <v>1.0</v>
      </c>
      <c r="Z32" s="78">
        <f>IF(AND($D32&gt;0,Z$6&gt;=$D32,Z$6&lt;=$E32),1,IF(AND($F32&gt;0,Z$6=$F32),"◆",""))</f>
        <v>1.0</v>
      </c>
      <c r="AA32" s="78" t="str">
        <f>IF(AND($D32&gt;0,AA$6&gt;=$D32,AA$6&lt;=$E32),1,IF(AND($F32&gt;0,AA$6=$F32),"◆",""))</f>
        <v/>
      </c>
      <c r="AB32" s="78" t="str">
        <f>IF(AND($D32&gt;0,AB$6&gt;=$D32,AB$6&lt;=$E32),1,IF(AND($F32&gt;0,AB$6=$F32),"◆",""))</f>
        <v/>
      </c>
      <c r="AC32" s="78" t="str">
        <f>IF(AND($D32&gt;0,AC$6&gt;=$D32,AC$6&lt;=$E32),1,IF(AND($F32&gt;0,AC$6=$F32),"◆",""))</f>
        <v/>
      </c>
      <c r="AD32" s="78" t="str">
        <f>IF(AND($D32&gt;0,AD$6&gt;=$D32,AD$6&lt;=$E32),1,IF(AND($F32&gt;0,AD$6=$F32),"◆",""))</f>
        <v/>
      </c>
      <c r="AE32" s="78" t="str">
        <f>IF(AND($D32&gt;0,AE$6&gt;=$D32,AE$6&lt;=$E32),1,IF(AND($F32&gt;0,AE$6=$F32),"◆",""))</f>
        <v/>
      </c>
      <c r="AF32" s="78" t="str">
        <f>IF(AND($D32&gt;0,AF$6&gt;=$D32,AF$6&lt;=$E32),1,IF(AND($F32&gt;0,AF$6=$F32),"◆",""))</f>
        <v/>
      </c>
      <c r="AG32" s="78" t="str">
        <f>IF(AND($D32&gt;0,AG$6&gt;=$D32,AG$6&lt;=$E32),1,IF(AND($F32&gt;0,AG$6=$F32),"◆",""))</f>
        <v/>
      </c>
      <c r="AH32" s="78" t="str">
        <f>IF(AND($D32&gt;0,AH$6&gt;=$D32,AH$6&lt;=$E32),1,IF(AND($F32&gt;0,AH$6=$F32),"◆",""))</f>
        <v/>
      </c>
      <c r="AI32" s="78" t="str">
        <f>IF(AND($D32&gt;0,AI$6&gt;=$D32,AI$6&lt;=$E32),1,IF(AND($F32&gt;0,AI$6=$F32),"◆",""))</f>
        <v/>
      </c>
      <c r="AJ32" s="78" t="str">
        <f>IF(AND($D32&gt;0,AJ$6&gt;=$D32,AJ$6&lt;=$E32),1,IF(AND($F32&gt;0,AJ$6=$F32),"◆",""))</f>
        <v/>
      </c>
      <c r="AK32" s="78" t="str">
        <f>IF(AND($D32&gt;0,AK$6&gt;=$D32,AK$6&lt;=$E32),1,IF(AND($F32&gt;0,AK$6=$F32),"◆",""))</f>
        <v>◆</v>
      </c>
      <c r="AL32" s="78" t="str">
        <f>IF(AND($D32&gt;0,AL$6&gt;=$D32,AL$6&lt;=$E32),1,IF(AND($F32&gt;0,AL$6=$F32),"◆",""))</f>
        <v/>
      </c>
      <c r="AM32" s="78" t="str">
        <f>IF(AND($D32&gt;0,AM$6&gt;=$D32,AM$6&lt;=$E32),1,IF(AND($F32&gt;0,AM$6=$F32),"◆",""))</f>
        <v/>
      </c>
      <c r="AN32" s="78" t="str">
        <f>IF(AND($D32&gt;0,AN$6&gt;=$D32,AN$6&lt;=$E32),1,IF(AND($F32&gt;0,AN$6=$F32),"◆",""))</f>
        <v/>
      </c>
      <c r="AO32" s="78" t="str">
        <f>IF(AND($D32&gt;0,AO$6&gt;=$D32,AO$6&lt;=$E32),1,IF(AND($F32&gt;0,AO$6=$F32),"◆",""))</f>
        <v/>
      </c>
      <c r="AP32" s="78" t="str">
        <f>IF(AND($D32&gt;0,AP$6&gt;=$D32,AP$6&lt;=$E32),1,IF(AND($F32&gt;0,AP$6=$F32),"◆",""))</f>
        <v/>
      </c>
      <c r="AQ32" s="78" t="str">
        <f>IF(AND($D32&gt;0,AQ$6&gt;=$D32,AQ$6&lt;=$E32),1,IF(AND($F32&gt;0,AQ$6=$F32),"◆",""))</f>
        <v/>
      </c>
      <c r="AR32" s="78" t="str">
        <f>IF(AND($D32&gt;0,AR$6&gt;=$D32,AR$6&lt;=$E32),1,IF(AND($F32&gt;0,AR$6=$F32),"◆",""))</f>
        <v/>
      </c>
      <c r="AS32" s="78" t="str">
        <f>IF(AND($D32&gt;0,AS$6&gt;=$D32,AS$6&lt;=$E32),1,IF(AND($F32&gt;0,AS$6=$F32),"◆",""))</f>
        <v/>
      </c>
      <c r="AT32" s="78" t="str">
        <f>IF(AND($D32&gt;0,AT$6&gt;=$D32,AT$6&lt;=$E32),1,IF(AND($F32&gt;0,AT$6=$F32),"◆",""))</f>
        <v/>
      </c>
      <c r="AU32" s="78" t="str">
        <f>IF(AND($D32&gt;0,AU$6&gt;=$D32,AU$6&lt;=$E32),1,IF(AND($F32&gt;0,AU$6=$F32),"◆",""))</f>
        <v/>
      </c>
      <c r="AV32" s="78" t="str">
        <f>IF(AND($D32&gt;0,AV$6&gt;=$D32,AV$6&lt;=$E32),1,IF(AND($F32&gt;0,AV$6=$F32),"◆",""))</f>
        <v/>
      </c>
      <c r="AW32" s="78" t="str">
        <f>IF(AND($D32&gt;0,AW$6&gt;=$D32,AW$6&lt;=$E32),1,IF(AND($F32&gt;0,AW$6=$F32),"◆",""))</f>
        <v/>
      </c>
      <c r="AX32" s="78" t="str">
        <f>IF(AND($D32&gt;0,AX$6&gt;=$D32,AX$6&lt;=$E32),1,IF(AND($F32&gt;0,AX$6=$F32),"◆",""))</f>
        <v/>
      </c>
      <c r="AY32" s="78" t="str">
        <f>IF(AND($D32&gt;0,AY$6&gt;=$D32,AY$6&lt;=$E32),1,IF(AND($F32&gt;0,AY$6=$F32),"◆",""))</f>
        <v/>
      </c>
      <c r="AZ32" s="78" t="str">
        <f>IF(AND($D32&gt;0,AZ$6&gt;=$D32,AZ$6&lt;=$E32),1,IF(AND($F32&gt;0,AZ$6=$F32),"◆",""))</f>
        <v/>
      </c>
      <c r="BA32" s="78" t="str">
        <f>IF(AND($D32&gt;0,BA$6&gt;=$D32,BA$6&lt;=$E32),1,IF(AND($F32&gt;0,BA$6=$F32),"◆",""))</f>
        <v/>
      </c>
      <c r="BB32" s="78" t="str">
        <f>IF(AND($D32&gt;0,BB$6&gt;=$D32,BB$6&lt;=$E32),1,IF(AND($F32&gt;0,BB$6=$F32),"◆",""))</f>
        <v/>
      </c>
      <c r="BC32" s="78" t="str">
        <f>IF(AND($D32&gt;0,BC$6&gt;=$D32,BC$6&lt;=$E32),1,IF(AND($F32&gt;0,BC$6=$F32),"◆",""))</f>
        <v/>
      </c>
      <c r="BD32" s="78" t="str">
        <f>IF(AND($D32&gt;0,BD$6&gt;=$D32,BD$6&lt;=$E32),1,IF(AND($F32&gt;0,BD$6=$F32),"◆",""))</f>
        <v/>
      </c>
      <c r="BE32" s="78" t="str">
        <f>IF(AND($D32&gt;0,BE$6&gt;=$D32,BE$6&lt;=$E32),1,IF(AND($F32&gt;0,BE$6=$F32),"◆",""))</f>
        <v/>
      </c>
      <c r="BF32" s="78" t="str">
        <f>IF(AND($D32&gt;0,BF$6&gt;=$D32,BF$6&lt;=$E32),1,IF(AND($F32&gt;0,BF$6=$F32),"◆",""))</f>
        <v/>
      </c>
      <c r="BG32" s="78" t="str">
        <f>IF(AND($D32&gt;0,BG$6&gt;=$D32,BG$6&lt;=$E32),1,IF(AND($F32&gt;0,BG$6=$F32),"◆",""))</f>
        <v/>
      </c>
      <c r="BH32" s="78" t="str">
        <f>IF(AND($D32&gt;0,BH$6&gt;=$D32,BH$6&lt;=$E32),1,IF(AND($F32&gt;0,BH$6=$F32),"◆",""))</f>
        <v/>
      </c>
      <c r="BI32" s="78" t="str">
        <f>IF(AND($D32&gt;0,BI$6&gt;=$D32,BI$6&lt;=$E32),1,IF(AND($F32&gt;0,BI$6=$F32),"◆",""))</f>
        <v/>
      </c>
      <c r="BJ32" s="78" t="str">
        <f>IF(AND($D32&gt;0,BJ$6&gt;=$D32,BJ$6&lt;=$E32),1,IF(AND($F32&gt;0,BJ$6=$F32),"◆",""))</f>
        <v/>
      </c>
      <c r="BK32" s="78" t="str">
        <f>IF(AND($D32&gt;0,BK$6&gt;=$D32,BK$6&lt;=$E32),1,IF(AND($F32&gt;0,BK$6=$F32),"◆",""))</f>
        <v/>
      </c>
      <c r="BL32" s="78" t="str">
        <f>IF(AND($D32&gt;0,BL$6&gt;=$D32,BL$6&lt;=$E32),1,IF(AND($F32&gt;0,BL$6=$F32),"◆",""))</f>
        <v/>
      </c>
      <c r="BM32" s="78" t="str">
        <f>IF(AND($D32&gt;0,BM$6&gt;=$D32,BM$6&lt;=$E32),1,IF(AND($F32&gt;0,BM$6=$F32),"◆",""))</f>
        <v/>
      </c>
      <c r="BN32" s="78" t="str">
        <f>IF(AND($D32&gt;0,BN$6&gt;=$D32,BN$6&lt;=$E32),1,IF(AND($F32&gt;0,BN$6=$F32),"◆",""))</f>
        <v/>
      </c>
      <c r="BO32" s="78" t="str">
        <f>IF(AND($D32&gt;0,BO$6&gt;=$D32,BO$6&lt;=$E32),1,IF(AND($F32&gt;0,BO$6=$F32),"◆",""))</f>
        <v/>
      </c>
      <c r="BP32" s="78" t="str">
        <f>IF(AND($D32&gt;0,BP$6&gt;=$D32,BP$6&lt;=$E32),1,IF(AND($F32&gt;0,BP$6=$F32),"◆",""))</f>
        <v/>
      </c>
    </row>
    <row r="33">
      <c r="A33" s="75" t="str">
        <f>IF(INDEX(of_ref,27)="","",INDEX(of_num,27)&amp;"")</f>
        <v>OF-2612-027</v>
      </c>
      <c r="B33" s="75" t="str">
        <f>IF(INDEX(of_ref,27)="","",INDEX(of_des,27)&amp;"")</f>
        <v>Châssis remorque peint</v>
      </c>
      <c r="C33" s="76" t="str">
        <f>IF(INDEX(of_ref,27)="","",INDEX(of_poste,27)&amp;"")</f>
        <v>PEINT</v>
      </c>
      <c r="D33" s="77">
        <f>INDEX(of_start,27)</f>
        <v>46351.0</v>
      </c>
      <c r="E33" s="77">
        <f>INDEX(of_end,27)</f>
        <v>46351.0</v>
      </c>
      <c r="F33" s="77">
        <f>IF(N(INDEX(of_need,27))=0,0,INDEX(of_need,27))</f>
        <v>46371.0</v>
      </c>
      <c r="G33" s="76" t="str">
        <f>IF(INDEX(of_ref,27)="","",INDEX(of_etat,27)&amp;"")</f>
        <v>À l'heure</v>
      </c>
      <c r="I33" s="78" t="str">
        <f>IF(AND($D33&gt;0,I$6&gt;=$D33,I$6&lt;=$E33),1,IF(AND($F33&gt;0,I$6=$F33),"◆",""))</f>
        <v/>
      </c>
      <c r="J33" s="78" t="str">
        <f>IF(AND($D33&gt;0,J$6&gt;=$D33,J$6&lt;=$E33),1,IF(AND($F33&gt;0,J$6=$F33),"◆",""))</f>
        <v/>
      </c>
      <c r="K33" s="78" t="str">
        <f>IF(AND($D33&gt;0,K$6&gt;=$D33,K$6&lt;=$E33),1,IF(AND($F33&gt;0,K$6=$F33),"◆",""))</f>
        <v/>
      </c>
      <c r="L33" s="78" t="str">
        <f>IF(AND($D33&gt;0,L$6&gt;=$D33,L$6&lt;=$E33),1,IF(AND($F33&gt;0,L$6=$F33),"◆",""))</f>
        <v/>
      </c>
      <c r="M33" s="78" t="str">
        <f>IF(AND($D33&gt;0,M$6&gt;=$D33,M$6&lt;=$E33),1,IF(AND($F33&gt;0,M$6=$F33),"◆",""))</f>
        <v/>
      </c>
      <c r="N33" s="78" t="str">
        <f>IF(AND($D33&gt;0,N$6&gt;=$D33,N$6&lt;=$E33),1,IF(AND($F33&gt;0,N$6=$F33),"◆",""))</f>
        <v/>
      </c>
      <c r="O33" s="78" t="str">
        <f>IF(AND($D33&gt;0,O$6&gt;=$D33,O$6&lt;=$E33),1,IF(AND($F33&gt;0,O$6=$F33),"◆",""))</f>
        <v/>
      </c>
      <c r="P33" s="78" t="str">
        <f>IF(AND($D33&gt;0,P$6&gt;=$D33,P$6&lt;=$E33),1,IF(AND($F33&gt;0,P$6=$F33),"◆",""))</f>
        <v/>
      </c>
      <c r="Q33" s="78" t="str">
        <f>IF(AND($D33&gt;0,Q$6&gt;=$D33,Q$6&lt;=$E33),1,IF(AND($F33&gt;0,Q$6=$F33),"◆",""))</f>
        <v/>
      </c>
      <c r="R33" s="78" t="str">
        <f>IF(AND($D33&gt;0,R$6&gt;=$D33,R$6&lt;=$E33),1,IF(AND($F33&gt;0,R$6=$F33),"◆",""))</f>
        <v/>
      </c>
      <c r="S33" s="78" t="str">
        <f>IF(AND($D33&gt;0,S$6&gt;=$D33,S$6&lt;=$E33),1,IF(AND($F33&gt;0,S$6=$F33),"◆",""))</f>
        <v/>
      </c>
      <c r="T33" s="78" t="str">
        <f>IF(AND($D33&gt;0,T$6&gt;=$D33,T$6&lt;=$E33),1,IF(AND($F33&gt;0,T$6=$F33),"◆",""))</f>
        <v/>
      </c>
      <c r="U33" s="78" t="str">
        <f>IF(AND($D33&gt;0,U$6&gt;=$D33,U$6&lt;=$E33),1,IF(AND($F33&gt;0,U$6=$F33),"◆",""))</f>
        <v/>
      </c>
      <c r="V33" s="78" t="str">
        <f>IF(AND($D33&gt;0,V$6&gt;=$D33,V$6&lt;=$E33),1,IF(AND($F33&gt;0,V$6=$F33),"◆",""))</f>
        <v/>
      </c>
      <c r="W33" s="78" t="str">
        <f>IF(AND($D33&gt;0,W$6&gt;=$D33,W$6&lt;=$E33),1,IF(AND($F33&gt;0,W$6=$F33),"◆",""))</f>
        <v/>
      </c>
      <c r="X33" s="78">
        <f>IF(AND($D33&gt;0,X$6&gt;=$D33,X$6&lt;=$E33),1,IF(AND($F33&gt;0,X$6=$F33),"◆",""))</f>
        <v>1.0</v>
      </c>
      <c r="Y33" s="78" t="str">
        <f>IF(AND($D33&gt;0,Y$6&gt;=$D33,Y$6&lt;=$E33),1,IF(AND($F33&gt;0,Y$6=$F33),"◆",""))</f>
        <v/>
      </c>
      <c r="Z33" s="78" t="str">
        <f>IF(AND($D33&gt;0,Z$6&gt;=$D33,Z$6&lt;=$E33),1,IF(AND($F33&gt;0,Z$6=$F33),"◆",""))</f>
        <v/>
      </c>
      <c r="AA33" s="78" t="str">
        <f>IF(AND($D33&gt;0,AA$6&gt;=$D33,AA$6&lt;=$E33),1,IF(AND($F33&gt;0,AA$6=$F33),"◆",""))</f>
        <v/>
      </c>
      <c r="AB33" s="78" t="str">
        <f>IF(AND($D33&gt;0,AB$6&gt;=$D33,AB$6&lt;=$E33),1,IF(AND($F33&gt;0,AB$6=$F33),"◆",""))</f>
        <v/>
      </c>
      <c r="AC33" s="78" t="str">
        <f>IF(AND($D33&gt;0,AC$6&gt;=$D33,AC$6&lt;=$E33),1,IF(AND($F33&gt;0,AC$6=$F33),"◆",""))</f>
        <v/>
      </c>
      <c r="AD33" s="78" t="str">
        <f>IF(AND($D33&gt;0,AD$6&gt;=$D33,AD$6&lt;=$E33),1,IF(AND($F33&gt;0,AD$6=$F33),"◆",""))</f>
        <v/>
      </c>
      <c r="AE33" s="78" t="str">
        <f>IF(AND($D33&gt;0,AE$6&gt;=$D33,AE$6&lt;=$E33),1,IF(AND($F33&gt;0,AE$6=$F33),"◆",""))</f>
        <v/>
      </c>
      <c r="AF33" s="78" t="str">
        <f>IF(AND($D33&gt;0,AF$6&gt;=$D33,AF$6&lt;=$E33),1,IF(AND($F33&gt;0,AF$6=$F33),"◆",""))</f>
        <v/>
      </c>
      <c r="AG33" s="78" t="str">
        <f>IF(AND($D33&gt;0,AG$6&gt;=$D33,AG$6&lt;=$E33),1,IF(AND($F33&gt;0,AG$6=$F33),"◆",""))</f>
        <v/>
      </c>
      <c r="AH33" s="78" t="str">
        <f>IF(AND($D33&gt;0,AH$6&gt;=$D33,AH$6&lt;=$E33),1,IF(AND($F33&gt;0,AH$6=$F33),"◆",""))</f>
        <v/>
      </c>
      <c r="AI33" s="78" t="str">
        <f>IF(AND($D33&gt;0,AI$6&gt;=$D33,AI$6&lt;=$E33),1,IF(AND($F33&gt;0,AI$6=$F33),"◆",""))</f>
        <v/>
      </c>
      <c r="AJ33" s="78" t="str">
        <f>IF(AND($D33&gt;0,AJ$6&gt;=$D33,AJ$6&lt;=$E33),1,IF(AND($F33&gt;0,AJ$6=$F33),"◆",""))</f>
        <v/>
      </c>
      <c r="AK33" s="78" t="str">
        <f>IF(AND($D33&gt;0,AK$6&gt;=$D33,AK$6&lt;=$E33),1,IF(AND($F33&gt;0,AK$6=$F33),"◆",""))</f>
        <v/>
      </c>
      <c r="AL33" s="78" t="str">
        <f>IF(AND($D33&gt;0,AL$6&gt;=$D33,AL$6&lt;=$E33),1,IF(AND($F33&gt;0,AL$6=$F33),"◆",""))</f>
        <v>◆</v>
      </c>
      <c r="AM33" s="78" t="str">
        <f>IF(AND($D33&gt;0,AM$6&gt;=$D33,AM$6&lt;=$E33),1,IF(AND($F33&gt;0,AM$6=$F33),"◆",""))</f>
        <v/>
      </c>
      <c r="AN33" s="78" t="str">
        <f>IF(AND($D33&gt;0,AN$6&gt;=$D33,AN$6&lt;=$E33),1,IF(AND($F33&gt;0,AN$6=$F33),"◆",""))</f>
        <v/>
      </c>
      <c r="AO33" s="78" t="str">
        <f>IF(AND($D33&gt;0,AO$6&gt;=$D33,AO$6&lt;=$E33),1,IF(AND($F33&gt;0,AO$6=$F33),"◆",""))</f>
        <v/>
      </c>
      <c r="AP33" s="78" t="str">
        <f>IF(AND($D33&gt;0,AP$6&gt;=$D33,AP$6&lt;=$E33),1,IF(AND($F33&gt;0,AP$6=$F33),"◆",""))</f>
        <v/>
      </c>
      <c r="AQ33" s="78" t="str">
        <f>IF(AND($D33&gt;0,AQ$6&gt;=$D33,AQ$6&lt;=$E33),1,IF(AND($F33&gt;0,AQ$6=$F33),"◆",""))</f>
        <v/>
      </c>
      <c r="AR33" s="78" t="str">
        <f>IF(AND($D33&gt;0,AR$6&gt;=$D33,AR$6&lt;=$E33),1,IF(AND($F33&gt;0,AR$6=$F33),"◆",""))</f>
        <v/>
      </c>
      <c r="AS33" s="78" t="str">
        <f>IF(AND($D33&gt;0,AS$6&gt;=$D33,AS$6&lt;=$E33),1,IF(AND($F33&gt;0,AS$6=$F33),"◆",""))</f>
        <v/>
      </c>
      <c r="AT33" s="78" t="str">
        <f>IF(AND($D33&gt;0,AT$6&gt;=$D33,AT$6&lt;=$E33),1,IF(AND($F33&gt;0,AT$6=$F33),"◆",""))</f>
        <v/>
      </c>
      <c r="AU33" s="78" t="str">
        <f>IF(AND($D33&gt;0,AU$6&gt;=$D33,AU$6&lt;=$E33),1,IF(AND($F33&gt;0,AU$6=$F33),"◆",""))</f>
        <v/>
      </c>
      <c r="AV33" s="78" t="str">
        <f>IF(AND($D33&gt;0,AV$6&gt;=$D33,AV$6&lt;=$E33),1,IF(AND($F33&gt;0,AV$6=$F33),"◆",""))</f>
        <v/>
      </c>
      <c r="AW33" s="78" t="str">
        <f>IF(AND($D33&gt;0,AW$6&gt;=$D33,AW$6&lt;=$E33),1,IF(AND($F33&gt;0,AW$6=$F33),"◆",""))</f>
        <v/>
      </c>
      <c r="AX33" s="78" t="str">
        <f>IF(AND($D33&gt;0,AX$6&gt;=$D33,AX$6&lt;=$E33),1,IF(AND($F33&gt;0,AX$6=$F33),"◆",""))</f>
        <v/>
      </c>
      <c r="AY33" s="78" t="str">
        <f>IF(AND($D33&gt;0,AY$6&gt;=$D33,AY$6&lt;=$E33),1,IF(AND($F33&gt;0,AY$6=$F33),"◆",""))</f>
        <v/>
      </c>
      <c r="AZ33" s="78" t="str">
        <f>IF(AND($D33&gt;0,AZ$6&gt;=$D33,AZ$6&lt;=$E33),1,IF(AND($F33&gt;0,AZ$6=$F33),"◆",""))</f>
        <v/>
      </c>
      <c r="BA33" s="78" t="str">
        <f>IF(AND($D33&gt;0,BA$6&gt;=$D33,BA$6&lt;=$E33),1,IF(AND($F33&gt;0,BA$6=$F33),"◆",""))</f>
        <v/>
      </c>
      <c r="BB33" s="78" t="str">
        <f>IF(AND($D33&gt;0,BB$6&gt;=$D33,BB$6&lt;=$E33),1,IF(AND($F33&gt;0,BB$6=$F33),"◆",""))</f>
        <v/>
      </c>
      <c r="BC33" s="78" t="str">
        <f>IF(AND($D33&gt;0,BC$6&gt;=$D33,BC$6&lt;=$E33),1,IF(AND($F33&gt;0,BC$6=$F33),"◆",""))</f>
        <v/>
      </c>
      <c r="BD33" s="78" t="str">
        <f>IF(AND($D33&gt;0,BD$6&gt;=$D33,BD$6&lt;=$E33),1,IF(AND($F33&gt;0,BD$6=$F33),"◆",""))</f>
        <v/>
      </c>
      <c r="BE33" s="78" t="str">
        <f>IF(AND($D33&gt;0,BE$6&gt;=$D33,BE$6&lt;=$E33),1,IF(AND($F33&gt;0,BE$6=$F33),"◆",""))</f>
        <v/>
      </c>
      <c r="BF33" s="78" t="str">
        <f>IF(AND($D33&gt;0,BF$6&gt;=$D33,BF$6&lt;=$E33),1,IF(AND($F33&gt;0,BF$6=$F33),"◆",""))</f>
        <v/>
      </c>
      <c r="BG33" s="78" t="str">
        <f>IF(AND($D33&gt;0,BG$6&gt;=$D33,BG$6&lt;=$E33),1,IF(AND($F33&gt;0,BG$6=$F33),"◆",""))</f>
        <v/>
      </c>
      <c r="BH33" s="78" t="str">
        <f>IF(AND($D33&gt;0,BH$6&gt;=$D33,BH$6&lt;=$E33),1,IF(AND($F33&gt;0,BH$6=$F33),"◆",""))</f>
        <v/>
      </c>
      <c r="BI33" s="78" t="str">
        <f>IF(AND($D33&gt;0,BI$6&gt;=$D33,BI$6&lt;=$E33),1,IF(AND($F33&gt;0,BI$6=$F33),"◆",""))</f>
        <v/>
      </c>
      <c r="BJ33" s="78" t="str">
        <f>IF(AND($D33&gt;0,BJ$6&gt;=$D33,BJ$6&lt;=$E33),1,IF(AND($F33&gt;0,BJ$6=$F33),"◆",""))</f>
        <v/>
      </c>
      <c r="BK33" s="78" t="str">
        <f>IF(AND($D33&gt;0,BK$6&gt;=$D33,BK$6&lt;=$E33),1,IF(AND($F33&gt;0,BK$6=$F33),"◆",""))</f>
        <v/>
      </c>
      <c r="BL33" s="78" t="str">
        <f>IF(AND($D33&gt;0,BL$6&gt;=$D33,BL$6&lt;=$E33),1,IF(AND($F33&gt;0,BL$6=$F33),"◆",""))</f>
        <v/>
      </c>
      <c r="BM33" s="78" t="str">
        <f>IF(AND($D33&gt;0,BM$6&gt;=$D33,BM$6&lt;=$E33),1,IF(AND($F33&gt;0,BM$6=$F33),"◆",""))</f>
        <v/>
      </c>
      <c r="BN33" s="78" t="str">
        <f>IF(AND($D33&gt;0,BN$6&gt;=$D33,BN$6&lt;=$E33),1,IF(AND($F33&gt;0,BN$6=$F33),"◆",""))</f>
        <v/>
      </c>
      <c r="BO33" s="78" t="str">
        <f>IF(AND($D33&gt;0,BO$6&gt;=$D33,BO$6&lt;=$E33),1,IF(AND($F33&gt;0,BO$6=$F33),"◆",""))</f>
        <v/>
      </c>
      <c r="BP33" s="78" t="str">
        <f>IF(AND($D33&gt;0,BP$6&gt;=$D33,BP$6&lt;=$E33),1,IF(AND($F33&gt;0,BP$6=$F33),"◆",""))</f>
        <v/>
      </c>
    </row>
    <row r="34">
      <c r="A34" s="75" t="str">
        <f>IF(INDEX(of_ref,28)="","",INDEX(of_num,28)&amp;"")</f>
        <v>OF-2612-028</v>
      </c>
      <c r="B34" s="75" t="str">
        <f>IF(INDEX(of_ref,28)="","",INDEX(of_des,28)&amp;"")</f>
        <v>Flasque usinée 150</v>
      </c>
      <c r="C34" s="76" t="str">
        <f>IF(INDEX(of_ref,28)="","",INDEX(of_poste,28)&amp;"")</f>
        <v>FRAIS</v>
      </c>
      <c r="D34" s="77">
        <f>INDEX(of_start,28)</f>
        <v>46363.0</v>
      </c>
      <c r="E34" s="77">
        <f>INDEX(of_end,28)</f>
        <v>46364.0</v>
      </c>
      <c r="F34" s="77">
        <f>IF(N(INDEX(of_need,28))=0,0,INDEX(of_need,28))</f>
        <v>46372.0</v>
      </c>
      <c r="G34" s="76" t="str">
        <f>IF(INDEX(of_ref,28)="","",INDEX(of_etat,28)&amp;"")</f>
        <v>À l'heure</v>
      </c>
      <c r="I34" s="78" t="str">
        <f>IF(AND($D34&gt;0,I$6&gt;=$D34,I$6&lt;=$E34),1,IF(AND($F34&gt;0,I$6=$F34),"◆",""))</f>
        <v/>
      </c>
      <c r="J34" s="78" t="str">
        <f>IF(AND($D34&gt;0,J$6&gt;=$D34,J$6&lt;=$E34),1,IF(AND($F34&gt;0,J$6=$F34),"◆",""))</f>
        <v/>
      </c>
      <c r="K34" s="78" t="str">
        <f>IF(AND($D34&gt;0,K$6&gt;=$D34,K$6&lt;=$E34),1,IF(AND($F34&gt;0,K$6=$F34),"◆",""))</f>
        <v/>
      </c>
      <c r="L34" s="78" t="str">
        <f>IF(AND($D34&gt;0,L$6&gt;=$D34,L$6&lt;=$E34),1,IF(AND($F34&gt;0,L$6=$F34),"◆",""))</f>
        <v/>
      </c>
      <c r="M34" s="78" t="str">
        <f>IF(AND($D34&gt;0,M$6&gt;=$D34,M$6&lt;=$E34),1,IF(AND($F34&gt;0,M$6=$F34),"◆",""))</f>
        <v/>
      </c>
      <c r="N34" s="78" t="str">
        <f>IF(AND($D34&gt;0,N$6&gt;=$D34,N$6&lt;=$E34),1,IF(AND($F34&gt;0,N$6=$F34),"◆",""))</f>
        <v/>
      </c>
      <c r="O34" s="78" t="str">
        <f>IF(AND($D34&gt;0,O$6&gt;=$D34,O$6&lt;=$E34),1,IF(AND($F34&gt;0,O$6=$F34),"◆",""))</f>
        <v/>
      </c>
      <c r="P34" s="78" t="str">
        <f>IF(AND($D34&gt;0,P$6&gt;=$D34,P$6&lt;=$E34),1,IF(AND($F34&gt;0,P$6=$F34),"◆",""))</f>
        <v/>
      </c>
      <c r="Q34" s="78" t="str">
        <f>IF(AND($D34&gt;0,Q$6&gt;=$D34,Q$6&lt;=$E34),1,IF(AND($F34&gt;0,Q$6=$F34),"◆",""))</f>
        <v/>
      </c>
      <c r="R34" s="78" t="str">
        <f>IF(AND($D34&gt;0,R$6&gt;=$D34,R$6&lt;=$E34),1,IF(AND($F34&gt;0,R$6=$F34),"◆",""))</f>
        <v/>
      </c>
      <c r="S34" s="78" t="str">
        <f>IF(AND($D34&gt;0,S$6&gt;=$D34,S$6&lt;=$E34),1,IF(AND($F34&gt;0,S$6=$F34),"◆",""))</f>
        <v/>
      </c>
      <c r="T34" s="78" t="str">
        <f>IF(AND($D34&gt;0,T$6&gt;=$D34,T$6&lt;=$E34),1,IF(AND($F34&gt;0,T$6=$F34),"◆",""))</f>
        <v/>
      </c>
      <c r="U34" s="78" t="str">
        <f>IF(AND($D34&gt;0,U$6&gt;=$D34,U$6&lt;=$E34),1,IF(AND($F34&gt;0,U$6=$F34),"◆",""))</f>
        <v/>
      </c>
      <c r="V34" s="78" t="str">
        <f>IF(AND($D34&gt;0,V$6&gt;=$D34,V$6&lt;=$E34),1,IF(AND($F34&gt;0,V$6=$F34),"◆",""))</f>
        <v/>
      </c>
      <c r="W34" s="78" t="str">
        <f>IF(AND($D34&gt;0,W$6&gt;=$D34,W$6&lt;=$E34),1,IF(AND($F34&gt;0,W$6=$F34),"◆",""))</f>
        <v/>
      </c>
      <c r="X34" s="78" t="str">
        <f>IF(AND($D34&gt;0,X$6&gt;=$D34,X$6&lt;=$E34),1,IF(AND($F34&gt;0,X$6=$F34),"◆",""))</f>
        <v/>
      </c>
      <c r="Y34" s="78" t="str">
        <f>IF(AND($D34&gt;0,Y$6&gt;=$D34,Y$6&lt;=$E34),1,IF(AND($F34&gt;0,Y$6=$F34),"◆",""))</f>
        <v/>
      </c>
      <c r="Z34" s="78" t="str">
        <f>IF(AND($D34&gt;0,Z$6&gt;=$D34,Z$6&lt;=$E34),1,IF(AND($F34&gt;0,Z$6=$F34),"◆",""))</f>
        <v/>
      </c>
      <c r="AA34" s="78" t="str">
        <f>IF(AND($D34&gt;0,AA$6&gt;=$D34,AA$6&lt;=$E34),1,IF(AND($F34&gt;0,AA$6=$F34),"◆",""))</f>
        <v/>
      </c>
      <c r="AB34" s="78" t="str">
        <f>IF(AND($D34&gt;0,AB$6&gt;=$D34,AB$6&lt;=$E34),1,IF(AND($F34&gt;0,AB$6=$F34),"◆",""))</f>
        <v/>
      </c>
      <c r="AC34" s="78" t="str">
        <f>IF(AND($D34&gt;0,AC$6&gt;=$D34,AC$6&lt;=$E34),1,IF(AND($F34&gt;0,AC$6=$F34),"◆",""))</f>
        <v/>
      </c>
      <c r="AD34" s="78" t="str">
        <f>IF(AND($D34&gt;0,AD$6&gt;=$D34,AD$6&lt;=$E34),1,IF(AND($F34&gt;0,AD$6=$F34),"◆",""))</f>
        <v/>
      </c>
      <c r="AE34" s="78" t="str">
        <f>IF(AND($D34&gt;0,AE$6&gt;=$D34,AE$6&lt;=$E34),1,IF(AND($F34&gt;0,AE$6=$F34),"◆",""))</f>
        <v/>
      </c>
      <c r="AF34" s="78">
        <f>IF(AND($D34&gt;0,AF$6&gt;=$D34,AF$6&lt;=$E34),1,IF(AND($F34&gt;0,AF$6=$F34),"◆",""))</f>
        <v>1.0</v>
      </c>
      <c r="AG34" s="78">
        <f>IF(AND($D34&gt;0,AG$6&gt;=$D34,AG$6&lt;=$E34),1,IF(AND($F34&gt;0,AG$6=$F34),"◆",""))</f>
        <v>1.0</v>
      </c>
      <c r="AH34" s="78" t="str">
        <f>IF(AND($D34&gt;0,AH$6&gt;=$D34,AH$6&lt;=$E34),1,IF(AND($F34&gt;0,AH$6=$F34),"◆",""))</f>
        <v/>
      </c>
      <c r="AI34" s="78" t="str">
        <f>IF(AND($D34&gt;0,AI$6&gt;=$D34,AI$6&lt;=$E34),1,IF(AND($F34&gt;0,AI$6=$F34),"◆",""))</f>
        <v/>
      </c>
      <c r="AJ34" s="78" t="str">
        <f>IF(AND($D34&gt;0,AJ$6&gt;=$D34,AJ$6&lt;=$E34),1,IF(AND($F34&gt;0,AJ$6=$F34),"◆",""))</f>
        <v/>
      </c>
      <c r="AK34" s="78" t="str">
        <f>IF(AND($D34&gt;0,AK$6&gt;=$D34,AK$6&lt;=$E34),1,IF(AND($F34&gt;0,AK$6=$F34),"◆",""))</f>
        <v/>
      </c>
      <c r="AL34" s="78" t="str">
        <f>IF(AND($D34&gt;0,AL$6&gt;=$D34,AL$6&lt;=$E34),1,IF(AND($F34&gt;0,AL$6=$F34),"◆",""))</f>
        <v/>
      </c>
      <c r="AM34" s="78" t="str">
        <f>IF(AND($D34&gt;0,AM$6&gt;=$D34,AM$6&lt;=$E34),1,IF(AND($F34&gt;0,AM$6=$F34),"◆",""))</f>
        <v>◆</v>
      </c>
      <c r="AN34" s="78" t="str">
        <f>IF(AND($D34&gt;0,AN$6&gt;=$D34,AN$6&lt;=$E34),1,IF(AND($F34&gt;0,AN$6=$F34),"◆",""))</f>
        <v/>
      </c>
      <c r="AO34" s="78" t="str">
        <f>IF(AND($D34&gt;0,AO$6&gt;=$D34,AO$6&lt;=$E34),1,IF(AND($F34&gt;0,AO$6=$F34),"◆",""))</f>
        <v/>
      </c>
      <c r="AP34" s="78" t="str">
        <f>IF(AND($D34&gt;0,AP$6&gt;=$D34,AP$6&lt;=$E34),1,IF(AND($F34&gt;0,AP$6=$F34),"◆",""))</f>
        <v/>
      </c>
      <c r="AQ34" s="78" t="str">
        <f>IF(AND($D34&gt;0,AQ$6&gt;=$D34,AQ$6&lt;=$E34),1,IF(AND($F34&gt;0,AQ$6=$F34),"◆",""))</f>
        <v/>
      </c>
      <c r="AR34" s="78" t="str">
        <f>IF(AND($D34&gt;0,AR$6&gt;=$D34,AR$6&lt;=$E34),1,IF(AND($F34&gt;0,AR$6=$F34),"◆",""))</f>
        <v/>
      </c>
      <c r="AS34" s="78" t="str">
        <f>IF(AND($D34&gt;0,AS$6&gt;=$D34,AS$6&lt;=$E34),1,IF(AND($F34&gt;0,AS$6=$F34),"◆",""))</f>
        <v/>
      </c>
      <c r="AT34" s="78" t="str">
        <f>IF(AND($D34&gt;0,AT$6&gt;=$D34,AT$6&lt;=$E34),1,IF(AND($F34&gt;0,AT$6=$F34),"◆",""))</f>
        <v/>
      </c>
      <c r="AU34" s="78" t="str">
        <f>IF(AND($D34&gt;0,AU$6&gt;=$D34,AU$6&lt;=$E34),1,IF(AND($F34&gt;0,AU$6=$F34),"◆",""))</f>
        <v/>
      </c>
      <c r="AV34" s="78" t="str">
        <f>IF(AND($D34&gt;0,AV$6&gt;=$D34,AV$6&lt;=$E34),1,IF(AND($F34&gt;0,AV$6=$F34),"◆",""))</f>
        <v/>
      </c>
      <c r="AW34" s="78" t="str">
        <f>IF(AND($D34&gt;0,AW$6&gt;=$D34,AW$6&lt;=$E34),1,IF(AND($F34&gt;0,AW$6=$F34),"◆",""))</f>
        <v/>
      </c>
      <c r="AX34" s="78" t="str">
        <f>IF(AND($D34&gt;0,AX$6&gt;=$D34,AX$6&lt;=$E34),1,IF(AND($F34&gt;0,AX$6=$F34),"◆",""))</f>
        <v/>
      </c>
      <c r="AY34" s="78" t="str">
        <f>IF(AND($D34&gt;0,AY$6&gt;=$D34,AY$6&lt;=$E34),1,IF(AND($F34&gt;0,AY$6=$F34),"◆",""))</f>
        <v/>
      </c>
      <c r="AZ34" s="78" t="str">
        <f>IF(AND($D34&gt;0,AZ$6&gt;=$D34,AZ$6&lt;=$E34),1,IF(AND($F34&gt;0,AZ$6=$F34),"◆",""))</f>
        <v/>
      </c>
      <c r="BA34" s="78" t="str">
        <f>IF(AND($D34&gt;0,BA$6&gt;=$D34,BA$6&lt;=$E34),1,IF(AND($F34&gt;0,BA$6=$F34),"◆",""))</f>
        <v/>
      </c>
      <c r="BB34" s="78" t="str">
        <f>IF(AND($D34&gt;0,BB$6&gt;=$D34,BB$6&lt;=$E34),1,IF(AND($F34&gt;0,BB$6=$F34),"◆",""))</f>
        <v/>
      </c>
      <c r="BC34" s="78" t="str">
        <f>IF(AND($D34&gt;0,BC$6&gt;=$D34,BC$6&lt;=$E34),1,IF(AND($F34&gt;0,BC$6=$F34),"◆",""))</f>
        <v/>
      </c>
      <c r="BD34" s="78" t="str">
        <f>IF(AND($D34&gt;0,BD$6&gt;=$D34,BD$6&lt;=$E34),1,IF(AND($F34&gt;0,BD$6=$F34),"◆",""))</f>
        <v/>
      </c>
      <c r="BE34" s="78" t="str">
        <f>IF(AND($D34&gt;0,BE$6&gt;=$D34,BE$6&lt;=$E34),1,IF(AND($F34&gt;0,BE$6=$F34),"◆",""))</f>
        <v/>
      </c>
      <c r="BF34" s="78" t="str">
        <f>IF(AND($D34&gt;0,BF$6&gt;=$D34,BF$6&lt;=$E34),1,IF(AND($F34&gt;0,BF$6=$F34),"◆",""))</f>
        <v/>
      </c>
      <c r="BG34" s="78" t="str">
        <f>IF(AND($D34&gt;0,BG$6&gt;=$D34,BG$6&lt;=$E34),1,IF(AND($F34&gt;0,BG$6=$F34),"◆",""))</f>
        <v/>
      </c>
      <c r="BH34" s="78" t="str">
        <f>IF(AND($D34&gt;0,BH$6&gt;=$D34,BH$6&lt;=$E34),1,IF(AND($F34&gt;0,BH$6=$F34),"◆",""))</f>
        <v/>
      </c>
      <c r="BI34" s="78" t="str">
        <f>IF(AND($D34&gt;0,BI$6&gt;=$D34,BI$6&lt;=$E34),1,IF(AND($F34&gt;0,BI$6=$F34),"◆",""))</f>
        <v/>
      </c>
      <c r="BJ34" s="78" t="str">
        <f>IF(AND($D34&gt;0,BJ$6&gt;=$D34,BJ$6&lt;=$E34),1,IF(AND($F34&gt;0,BJ$6=$F34),"◆",""))</f>
        <v/>
      </c>
      <c r="BK34" s="78" t="str">
        <f>IF(AND($D34&gt;0,BK$6&gt;=$D34,BK$6&lt;=$E34),1,IF(AND($F34&gt;0,BK$6=$F34),"◆",""))</f>
        <v/>
      </c>
      <c r="BL34" s="78" t="str">
        <f>IF(AND($D34&gt;0,BL$6&gt;=$D34,BL$6&lt;=$E34),1,IF(AND($F34&gt;0,BL$6=$F34),"◆",""))</f>
        <v/>
      </c>
      <c r="BM34" s="78" t="str">
        <f>IF(AND($D34&gt;0,BM$6&gt;=$D34,BM$6&lt;=$E34),1,IF(AND($F34&gt;0,BM$6=$F34),"◆",""))</f>
        <v/>
      </c>
      <c r="BN34" s="78" t="str">
        <f>IF(AND($D34&gt;0,BN$6&gt;=$D34,BN$6&lt;=$E34),1,IF(AND($F34&gt;0,BN$6=$F34),"◆",""))</f>
        <v/>
      </c>
      <c r="BO34" s="78" t="str">
        <f>IF(AND($D34&gt;0,BO$6&gt;=$D34,BO$6&lt;=$E34),1,IF(AND($F34&gt;0,BO$6=$F34),"◆",""))</f>
        <v/>
      </c>
      <c r="BP34" s="78" t="str">
        <f>IF(AND($D34&gt;0,BP$6&gt;=$D34,BP$6&lt;=$E34),1,IF(AND($F34&gt;0,BP$6=$F34),"◆",""))</f>
        <v/>
      </c>
    </row>
    <row r="35">
      <c r="A35" s="75" t="str">
        <f>IF(INDEX(of_ref,29)="","",INDEX(of_num,29)&amp;"")</f>
        <v>OF-2612-029</v>
      </c>
      <c r="B35" s="75" t="str">
        <f>IF(INDEX(of_ref,29)="","",INDEX(of_des,29)&amp;"")</f>
        <v>Entretoise Ø12</v>
      </c>
      <c r="C35" s="76" t="str">
        <f>IF(INDEX(of_ref,29)="","",INDEX(of_poste,29)&amp;"")</f>
        <v>TOUR</v>
      </c>
      <c r="D35" s="77">
        <f>INDEX(of_start,29)</f>
        <v>46356.0</v>
      </c>
      <c r="E35" s="77">
        <f>INDEX(of_end,29)</f>
        <v>46358.0</v>
      </c>
      <c r="F35" s="77">
        <f>IF(N(INDEX(of_need,29))=0,0,INDEX(of_need,29))</f>
        <v>46374.0</v>
      </c>
      <c r="G35" s="76" t="str">
        <f>IF(INDEX(of_ref,29)="","",INDEX(of_etat,29)&amp;"")</f>
        <v>À l'heure</v>
      </c>
      <c r="I35" s="78" t="str">
        <f>IF(AND($D35&gt;0,I$6&gt;=$D35,I$6&lt;=$E35),1,IF(AND($F35&gt;0,I$6=$F35),"◆",""))</f>
        <v/>
      </c>
      <c r="J35" s="78" t="str">
        <f>IF(AND($D35&gt;0,J$6&gt;=$D35,J$6&lt;=$E35),1,IF(AND($F35&gt;0,J$6=$F35),"◆",""))</f>
        <v/>
      </c>
      <c r="K35" s="78" t="str">
        <f>IF(AND($D35&gt;0,K$6&gt;=$D35,K$6&lt;=$E35),1,IF(AND($F35&gt;0,K$6=$F35),"◆",""))</f>
        <v/>
      </c>
      <c r="L35" s="78" t="str">
        <f>IF(AND($D35&gt;0,L$6&gt;=$D35,L$6&lt;=$E35),1,IF(AND($F35&gt;0,L$6=$F35),"◆",""))</f>
        <v/>
      </c>
      <c r="M35" s="78" t="str">
        <f>IF(AND($D35&gt;0,M$6&gt;=$D35,M$6&lt;=$E35),1,IF(AND($F35&gt;0,M$6=$F35),"◆",""))</f>
        <v/>
      </c>
      <c r="N35" s="78" t="str">
        <f>IF(AND($D35&gt;0,N$6&gt;=$D35,N$6&lt;=$E35),1,IF(AND($F35&gt;0,N$6=$F35),"◆",""))</f>
        <v/>
      </c>
      <c r="O35" s="78" t="str">
        <f>IF(AND($D35&gt;0,O$6&gt;=$D35,O$6&lt;=$E35),1,IF(AND($F35&gt;0,O$6=$F35),"◆",""))</f>
        <v/>
      </c>
      <c r="P35" s="78" t="str">
        <f>IF(AND($D35&gt;0,P$6&gt;=$D35,P$6&lt;=$E35),1,IF(AND($F35&gt;0,P$6=$F35),"◆",""))</f>
        <v/>
      </c>
      <c r="Q35" s="78" t="str">
        <f>IF(AND($D35&gt;0,Q$6&gt;=$D35,Q$6&lt;=$E35),1,IF(AND($F35&gt;0,Q$6=$F35),"◆",""))</f>
        <v/>
      </c>
      <c r="R35" s="78" t="str">
        <f>IF(AND($D35&gt;0,R$6&gt;=$D35,R$6&lt;=$E35),1,IF(AND($F35&gt;0,R$6=$F35),"◆",""))</f>
        <v/>
      </c>
      <c r="S35" s="78" t="str">
        <f>IF(AND($D35&gt;0,S$6&gt;=$D35,S$6&lt;=$E35),1,IF(AND($F35&gt;0,S$6=$F35),"◆",""))</f>
        <v/>
      </c>
      <c r="T35" s="78" t="str">
        <f>IF(AND($D35&gt;0,T$6&gt;=$D35,T$6&lt;=$E35),1,IF(AND($F35&gt;0,T$6=$F35),"◆",""))</f>
        <v/>
      </c>
      <c r="U35" s="78" t="str">
        <f>IF(AND($D35&gt;0,U$6&gt;=$D35,U$6&lt;=$E35),1,IF(AND($F35&gt;0,U$6=$F35),"◆",""))</f>
        <v/>
      </c>
      <c r="V35" s="78" t="str">
        <f>IF(AND($D35&gt;0,V$6&gt;=$D35,V$6&lt;=$E35),1,IF(AND($F35&gt;0,V$6=$F35),"◆",""))</f>
        <v/>
      </c>
      <c r="W35" s="78" t="str">
        <f>IF(AND($D35&gt;0,W$6&gt;=$D35,W$6&lt;=$E35),1,IF(AND($F35&gt;0,W$6=$F35),"◆",""))</f>
        <v/>
      </c>
      <c r="X35" s="78" t="str">
        <f>IF(AND($D35&gt;0,X$6&gt;=$D35,X$6&lt;=$E35),1,IF(AND($F35&gt;0,X$6=$F35),"◆",""))</f>
        <v/>
      </c>
      <c r="Y35" s="78" t="str">
        <f>IF(AND($D35&gt;0,Y$6&gt;=$D35,Y$6&lt;=$E35),1,IF(AND($F35&gt;0,Y$6=$F35),"◆",""))</f>
        <v/>
      </c>
      <c r="Z35" s="78" t="str">
        <f>IF(AND($D35&gt;0,Z$6&gt;=$D35,Z$6&lt;=$E35),1,IF(AND($F35&gt;0,Z$6=$F35),"◆",""))</f>
        <v/>
      </c>
      <c r="AA35" s="78">
        <f>IF(AND($D35&gt;0,AA$6&gt;=$D35,AA$6&lt;=$E35),1,IF(AND($F35&gt;0,AA$6=$F35),"◆",""))</f>
        <v>1.0</v>
      </c>
      <c r="AB35" s="78">
        <f>IF(AND($D35&gt;0,AB$6&gt;=$D35,AB$6&lt;=$E35),1,IF(AND($F35&gt;0,AB$6=$F35),"◆",""))</f>
        <v>1.0</v>
      </c>
      <c r="AC35" s="78">
        <f>IF(AND($D35&gt;0,AC$6&gt;=$D35,AC$6&lt;=$E35),1,IF(AND($F35&gt;0,AC$6=$F35),"◆",""))</f>
        <v>1.0</v>
      </c>
      <c r="AD35" s="78" t="str">
        <f>IF(AND($D35&gt;0,AD$6&gt;=$D35,AD$6&lt;=$E35),1,IF(AND($F35&gt;0,AD$6=$F35),"◆",""))</f>
        <v/>
      </c>
      <c r="AE35" s="78" t="str">
        <f>IF(AND($D35&gt;0,AE$6&gt;=$D35,AE$6&lt;=$E35),1,IF(AND($F35&gt;0,AE$6=$F35),"◆",""))</f>
        <v/>
      </c>
      <c r="AF35" s="78" t="str">
        <f>IF(AND($D35&gt;0,AF$6&gt;=$D35,AF$6&lt;=$E35),1,IF(AND($F35&gt;0,AF$6=$F35),"◆",""))</f>
        <v/>
      </c>
      <c r="AG35" s="78" t="str">
        <f>IF(AND($D35&gt;0,AG$6&gt;=$D35,AG$6&lt;=$E35),1,IF(AND($F35&gt;0,AG$6=$F35),"◆",""))</f>
        <v/>
      </c>
      <c r="AH35" s="78" t="str">
        <f>IF(AND($D35&gt;0,AH$6&gt;=$D35,AH$6&lt;=$E35),1,IF(AND($F35&gt;0,AH$6=$F35),"◆",""))</f>
        <v/>
      </c>
      <c r="AI35" s="78" t="str">
        <f>IF(AND($D35&gt;0,AI$6&gt;=$D35,AI$6&lt;=$E35),1,IF(AND($F35&gt;0,AI$6=$F35),"◆",""))</f>
        <v/>
      </c>
      <c r="AJ35" s="78" t="str">
        <f>IF(AND($D35&gt;0,AJ$6&gt;=$D35,AJ$6&lt;=$E35),1,IF(AND($F35&gt;0,AJ$6=$F35),"◆",""))</f>
        <v/>
      </c>
      <c r="AK35" s="78" t="str">
        <f>IF(AND($D35&gt;0,AK$6&gt;=$D35,AK$6&lt;=$E35),1,IF(AND($F35&gt;0,AK$6=$F35),"◆",""))</f>
        <v/>
      </c>
      <c r="AL35" s="78" t="str">
        <f>IF(AND($D35&gt;0,AL$6&gt;=$D35,AL$6&lt;=$E35),1,IF(AND($F35&gt;0,AL$6=$F35),"◆",""))</f>
        <v/>
      </c>
      <c r="AM35" s="78" t="str">
        <f>IF(AND($D35&gt;0,AM$6&gt;=$D35,AM$6&lt;=$E35),1,IF(AND($F35&gt;0,AM$6=$F35),"◆",""))</f>
        <v/>
      </c>
      <c r="AN35" s="78" t="str">
        <f>IF(AND($D35&gt;0,AN$6&gt;=$D35,AN$6&lt;=$E35),1,IF(AND($F35&gt;0,AN$6=$F35),"◆",""))</f>
        <v/>
      </c>
      <c r="AO35" s="78" t="str">
        <f>IF(AND($D35&gt;0,AO$6&gt;=$D35,AO$6&lt;=$E35),1,IF(AND($F35&gt;0,AO$6=$F35),"◆",""))</f>
        <v>◆</v>
      </c>
      <c r="AP35" s="78" t="str">
        <f>IF(AND($D35&gt;0,AP$6&gt;=$D35,AP$6&lt;=$E35),1,IF(AND($F35&gt;0,AP$6=$F35),"◆",""))</f>
        <v/>
      </c>
      <c r="AQ35" s="78" t="str">
        <f>IF(AND($D35&gt;0,AQ$6&gt;=$D35,AQ$6&lt;=$E35),1,IF(AND($F35&gt;0,AQ$6=$F35),"◆",""))</f>
        <v/>
      </c>
      <c r="AR35" s="78" t="str">
        <f>IF(AND($D35&gt;0,AR$6&gt;=$D35,AR$6&lt;=$E35),1,IF(AND($F35&gt;0,AR$6=$F35),"◆",""))</f>
        <v/>
      </c>
      <c r="AS35" s="78" t="str">
        <f>IF(AND($D35&gt;0,AS$6&gt;=$D35,AS$6&lt;=$E35),1,IF(AND($F35&gt;0,AS$6=$F35),"◆",""))</f>
        <v/>
      </c>
      <c r="AT35" s="78" t="str">
        <f>IF(AND($D35&gt;0,AT$6&gt;=$D35,AT$6&lt;=$E35),1,IF(AND($F35&gt;0,AT$6=$F35),"◆",""))</f>
        <v/>
      </c>
      <c r="AU35" s="78" t="str">
        <f>IF(AND($D35&gt;0,AU$6&gt;=$D35,AU$6&lt;=$E35),1,IF(AND($F35&gt;0,AU$6=$F35),"◆",""))</f>
        <v/>
      </c>
      <c r="AV35" s="78" t="str">
        <f>IF(AND($D35&gt;0,AV$6&gt;=$D35,AV$6&lt;=$E35),1,IF(AND($F35&gt;0,AV$6=$F35),"◆",""))</f>
        <v/>
      </c>
      <c r="AW35" s="78" t="str">
        <f>IF(AND($D35&gt;0,AW$6&gt;=$D35,AW$6&lt;=$E35),1,IF(AND($F35&gt;0,AW$6=$F35),"◆",""))</f>
        <v/>
      </c>
      <c r="AX35" s="78" t="str">
        <f>IF(AND($D35&gt;0,AX$6&gt;=$D35,AX$6&lt;=$E35),1,IF(AND($F35&gt;0,AX$6=$F35),"◆",""))</f>
        <v/>
      </c>
      <c r="AY35" s="78" t="str">
        <f>IF(AND($D35&gt;0,AY$6&gt;=$D35,AY$6&lt;=$E35),1,IF(AND($F35&gt;0,AY$6=$F35),"◆",""))</f>
        <v/>
      </c>
      <c r="AZ35" s="78" t="str">
        <f>IF(AND($D35&gt;0,AZ$6&gt;=$D35,AZ$6&lt;=$E35),1,IF(AND($F35&gt;0,AZ$6=$F35),"◆",""))</f>
        <v/>
      </c>
      <c r="BA35" s="78" t="str">
        <f>IF(AND($D35&gt;0,BA$6&gt;=$D35,BA$6&lt;=$E35),1,IF(AND($F35&gt;0,BA$6=$F35),"◆",""))</f>
        <v/>
      </c>
      <c r="BB35" s="78" t="str">
        <f>IF(AND($D35&gt;0,BB$6&gt;=$D35,BB$6&lt;=$E35),1,IF(AND($F35&gt;0,BB$6=$F35),"◆",""))</f>
        <v/>
      </c>
      <c r="BC35" s="78" t="str">
        <f>IF(AND($D35&gt;0,BC$6&gt;=$D35,BC$6&lt;=$E35),1,IF(AND($F35&gt;0,BC$6=$F35),"◆",""))</f>
        <v/>
      </c>
      <c r="BD35" s="78" t="str">
        <f>IF(AND($D35&gt;0,BD$6&gt;=$D35,BD$6&lt;=$E35),1,IF(AND($F35&gt;0,BD$6=$F35),"◆",""))</f>
        <v/>
      </c>
      <c r="BE35" s="78" t="str">
        <f>IF(AND($D35&gt;0,BE$6&gt;=$D35,BE$6&lt;=$E35),1,IF(AND($F35&gt;0,BE$6=$F35),"◆",""))</f>
        <v/>
      </c>
      <c r="BF35" s="78" t="str">
        <f>IF(AND($D35&gt;0,BF$6&gt;=$D35,BF$6&lt;=$E35),1,IF(AND($F35&gt;0,BF$6=$F35),"◆",""))</f>
        <v/>
      </c>
      <c r="BG35" s="78" t="str">
        <f>IF(AND($D35&gt;0,BG$6&gt;=$D35,BG$6&lt;=$E35),1,IF(AND($F35&gt;0,BG$6=$F35),"◆",""))</f>
        <v/>
      </c>
      <c r="BH35" s="78" t="str">
        <f>IF(AND($D35&gt;0,BH$6&gt;=$D35,BH$6&lt;=$E35),1,IF(AND($F35&gt;0,BH$6=$F35),"◆",""))</f>
        <v/>
      </c>
      <c r="BI35" s="78" t="str">
        <f>IF(AND($D35&gt;0,BI$6&gt;=$D35,BI$6&lt;=$E35),1,IF(AND($F35&gt;0,BI$6=$F35),"◆",""))</f>
        <v/>
      </c>
      <c r="BJ35" s="78" t="str">
        <f>IF(AND($D35&gt;0,BJ$6&gt;=$D35,BJ$6&lt;=$E35),1,IF(AND($F35&gt;0,BJ$6=$F35),"◆",""))</f>
        <v/>
      </c>
      <c r="BK35" s="78" t="str">
        <f>IF(AND($D35&gt;0,BK$6&gt;=$D35,BK$6&lt;=$E35),1,IF(AND($F35&gt;0,BK$6=$F35),"◆",""))</f>
        <v/>
      </c>
      <c r="BL35" s="78" t="str">
        <f>IF(AND($D35&gt;0,BL$6&gt;=$D35,BL$6&lt;=$E35),1,IF(AND($F35&gt;0,BL$6=$F35),"◆",""))</f>
        <v/>
      </c>
      <c r="BM35" s="78" t="str">
        <f>IF(AND($D35&gt;0,BM$6&gt;=$D35,BM$6&lt;=$E35),1,IF(AND($F35&gt;0,BM$6=$F35),"◆",""))</f>
        <v/>
      </c>
      <c r="BN35" s="78" t="str">
        <f>IF(AND($D35&gt;0,BN$6&gt;=$D35,BN$6&lt;=$E35),1,IF(AND($F35&gt;0,BN$6=$F35),"◆",""))</f>
        <v/>
      </c>
      <c r="BO35" s="78" t="str">
        <f>IF(AND($D35&gt;0,BO$6&gt;=$D35,BO$6&lt;=$E35),1,IF(AND($F35&gt;0,BO$6=$F35),"◆",""))</f>
        <v/>
      </c>
      <c r="BP35" s="78" t="str">
        <f>IF(AND($D35&gt;0,BP$6&gt;=$D35,BP$6&lt;=$E35),1,IF(AND($F35&gt;0,BP$6=$F35),"◆",""))</f>
        <v/>
      </c>
    </row>
    <row r="36">
      <c r="A36" s="75" t="str">
        <f>IF(INDEX(of_ref,30)="","",INDEX(of_num,30)&amp;"")</f>
        <v>OF-2612-030</v>
      </c>
      <c r="B36" s="75" t="str">
        <f>IF(INDEX(of_ref,30)="","",INDEX(of_des,30)&amp;"")</f>
        <v>Support garde-boue plié</v>
      </c>
      <c r="C36" s="76" t="str">
        <f>IF(INDEX(of_ref,30)="","",INDEX(of_poste,30)&amp;"")</f>
        <v>PLIE</v>
      </c>
      <c r="D36" s="77">
        <f>INDEX(of_start,30)</f>
        <v>46356.0</v>
      </c>
      <c r="E36" s="77">
        <f>INDEX(of_end,30)</f>
        <v>46359.0</v>
      </c>
      <c r="F36" s="77">
        <f>IF(N(INDEX(of_need,30))=0,0,INDEX(of_need,30))</f>
        <v>46373.0</v>
      </c>
      <c r="G36" s="76" t="str">
        <f>IF(INDEX(of_ref,30)="","",INDEX(of_etat,30)&amp;"")</f>
        <v>À l'heure</v>
      </c>
      <c r="I36" s="78" t="str">
        <f>IF(AND($D36&gt;0,I$6&gt;=$D36,I$6&lt;=$E36),1,IF(AND($F36&gt;0,I$6=$F36),"◆",""))</f>
        <v/>
      </c>
      <c r="J36" s="78" t="str">
        <f>IF(AND($D36&gt;0,J$6&gt;=$D36,J$6&lt;=$E36),1,IF(AND($F36&gt;0,J$6=$F36),"◆",""))</f>
        <v/>
      </c>
      <c r="K36" s="78" t="str">
        <f>IF(AND($D36&gt;0,K$6&gt;=$D36,K$6&lt;=$E36),1,IF(AND($F36&gt;0,K$6=$F36),"◆",""))</f>
        <v/>
      </c>
      <c r="L36" s="78" t="str">
        <f>IF(AND($D36&gt;0,L$6&gt;=$D36,L$6&lt;=$E36),1,IF(AND($F36&gt;0,L$6=$F36),"◆",""))</f>
        <v/>
      </c>
      <c r="M36" s="78" t="str">
        <f>IF(AND($D36&gt;0,M$6&gt;=$D36,M$6&lt;=$E36),1,IF(AND($F36&gt;0,M$6=$F36),"◆",""))</f>
        <v/>
      </c>
      <c r="N36" s="78" t="str">
        <f>IF(AND($D36&gt;0,N$6&gt;=$D36,N$6&lt;=$E36),1,IF(AND($F36&gt;0,N$6=$F36),"◆",""))</f>
        <v/>
      </c>
      <c r="O36" s="78" t="str">
        <f>IF(AND($D36&gt;0,O$6&gt;=$D36,O$6&lt;=$E36),1,IF(AND($F36&gt;0,O$6=$F36),"◆",""))</f>
        <v/>
      </c>
      <c r="P36" s="78" t="str">
        <f>IF(AND($D36&gt;0,P$6&gt;=$D36,P$6&lt;=$E36),1,IF(AND($F36&gt;0,P$6=$F36),"◆",""))</f>
        <v/>
      </c>
      <c r="Q36" s="78" t="str">
        <f>IF(AND($D36&gt;0,Q$6&gt;=$D36,Q$6&lt;=$E36),1,IF(AND($F36&gt;0,Q$6=$F36),"◆",""))</f>
        <v/>
      </c>
      <c r="R36" s="78" t="str">
        <f>IF(AND($D36&gt;0,R$6&gt;=$D36,R$6&lt;=$E36),1,IF(AND($F36&gt;0,R$6=$F36),"◆",""))</f>
        <v/>
      </c>
      <c r="S36" s="78" t="str">
        <f>IF(AND($D36&gt;0,S$6&gt;=$D36,S$6&lt;=$E36),1,IF(AND($F36&gt;0,S$6=$F36),"◆",""))</f>
        <v/>
      </c>
      <c r="T36" s="78" t="str">
        <f>IF(AND($D36&gt;0,T$6&gt;=$D36,T$6&lt;=$E36),1,IF(AND($F36&gt;0,T$6=$F36),"◆",""))</f>
        <v/>
      </c>
      <c r="U36" s="78" t="str">
        <f>IF(AND($D36&gt;0,U$6&gt;=$D36,U$6&lt;=$E36),1,IF(AND($F36&gt;0,U$6=$F36),"◆",""))</f>
        <v/>
      </c>
      <c r="V36" s="78" t="str">
        <f>IF(AND($D36&gt;0,V$6&gt;=$D36,V$6&lt;=$E36),1,IF(AND($F36&gt;0,V$6=$F36),"◆",""))</f>
        <v/>
      </c>
      <c r="W36" s="78" t="str">
        <f>IF(AND($D36&gt;0,W$6&gt;=$D36,W$6&lt;=$E36),1,IF(AND($F36&gt;0,W$6=$F36),"◆",""))</f>
        <v/>
      </c>
      <c r="X36" s="78" t="str">
        <f>IF(AND($D36&gt;0,X$6&gt;=$D36,X$6&lt;=$E36),1,IF(AND($F36&gt;0,X$6=$F36),"◆",""))</f>
        <v/>
      </c>
      <c r="Y36" s="78" t="str">
        <f>IF(AND($D36&gt;0,Y$6&gt;=$D36,Y$6&lt;=$E36),1,IF(AND($F36&gt;0,Y$6=$F36),"◆",""))</f>
        <v/>
      </c>
      <c r="Z36" s="78" t="str">
        <f>IF(AND($D36&gt;0,Z$6&gt;=$D36,Z$6&lt;=$E36),1,IF(AND($F36&gt;0,Z$6=$F36),"◆",""))</f>
        <v/>
      </c>
      <c r="AA36" s="78">
        <f>IF(AND($D36&gt;0,AA$6&gt;=$D36,AA$6&lt;=$E36),1,IF(AND($F36&gt;0,AA$6=$F36),"◆",""))</f>
        <v>1.0</v>
      </c>
      <c r="AB36" s="78">
        <f>IF(AND($D36&gt;0,AB$6&gt;=$D36,AB$6&lt;=$E36),1,IF(AND($F36&gt;0,AB$6=$F36),"◆",""))</f>
        <v>1.0</v>
      </c>
      <c r="AC36" s="78">
        <f>IF(AND($D36&gt;0,AC$6&gt;=$D36,AC$6&lt;=$E36),1,IF(AND($F36&gt;0,AC$6=$F36),"◆",""))</f>
        <v>1.0</v>
      </c>
      <c r="AD36" s="78">
        <f>IF(AND($D36&gt;0,AD$6&gt;=$D36,AD$6&lt;=$E36),1,IF(AND($F36&gt;0,AD$6=$F36),"◆",""))</f>
        <v>1.0</v>
      </c>
      <c r="AE36" s="78" t="str">
        <f>IF(AND($D36&gt;0,AE$6&gt;=$D36,AE$6&lt;=$E36),1,IF(AND($F36&gt;0,AE$6=$F36),"◆",""))</f>
        <v/>
      </c>
      <c r="AF36" s="78" t="str">
        <f>IF(AND($D36&gt;0,AF$6&gt;=$D36,AF$6&lt;=$E36),1,IF(AND($F36&gt;0,AF$6=$F36),"◆",""))</f>
        <v/>
      </c>
      <c r="AG36" s="78" t="str">
        <f>IF(AND($D36&gt;0,AG$6&gt;=$D36,AG$6&lt;=$E36),1,IF(AND($F36&gt;0,AG$6=$F36),"◆",""))</f>
        <v/>
      </c>
      <c r="AH36" s="78" t="str">
        <f>IF(AND($D36&gt;0,AH$6&gt;=$D36,AH$6&lt;=$E36),1,IF(AND($F36&gt;0,AH$6=$F36),"◆",""))</f>
        <v/>
      </c>
      <c r="AI36" s="78" t="str">
        <f>IF(AND($D36&gt;0,AI$6&gt;=$D36,AI$6&lt;=$E36),1,IF(AND($F36&gt;0,AI$6=$F36),"◆",""))</f>
        <v/>
      </c>
      <c r="AJ36" s="78" t="str">
        <f>IF(AND($D36&gt;0,AJ$6&gt;=$D36,AJ$6&lt;=$E36),1,IF(AND($F36&gt;0,AJ$6=$F36),"◆",""))</f>
        <v/>
      </c>
      <c r="AK36" s="78" t="str">
        <f>IF(AND($D36&gt;0,AK$6&gt;=$D36,AK$6&lt;=$E36),1,IF(AND($F36&gt;0,AK$6=$F36),"◆",""))</f>
        <v/>
      </c>
      <c r="AL36" s="78" t="str">
        <f>IF(AND($D36&gt;0,AL$6&gt;=$D36,AL$6&lt;=$E36),1,IF(AND($F36&gt;0,AL$6=$F36),"◆",""))</f>
        <v/>
      </c>
      <c r="AM36" s="78" t="str">
        <f>IF(AND($D36&gt;0,AM$6&gt;=$D36,AM$6&lt;=$E36),1,IF(AND($F36&gt;0,AM$6=$F36),"◆",""))</f>
        <v/>
      </c>
      <c r="AN36" s="78" t="str">
        <f>IF(AND($D36&gt;0,AN$6&gt;=$D36,AN$6&lt;=$E36),1,IF(AND($F36&gt;0,AN$6=$F36),"◆",""))</f>
        <v>◆</v>
      </c>
      <c r="AO36" s="78" t="str">
        <f>IF(AND($D36&gt;0,AO$6&gt;=$D36,AO$6&lt;=$E36),1,IF(AND($F36&gt;0,AO$6=$F36),"◆",""))</f>
        <v/>
      </c>
      <c r="AP36" s="78" t="str">
        <f>IF(AND($D36&gt;0,AP$6&gt;=$D36,AP$6&lt;=$E36),1,IF(AND($F36&gt;0,AP$6=$F36),"◆",""))</f>
        <v/>
      </c>
      <c r="AQ36" s="78" t="str">
        <f>IF(AND($D36&gt;0,AQ$6&gt;=$D36,AQ$6&lt;=$E36),1,IF(AND($F36&gt;0,AQ$6=$F36),"◆",""))</f>
        <v/>
      </c>
      <c r="AR36" s="78" t="str">
        <f>IF(AND($D36&gt;0,AR$6&gt;=$D36,AR$6&lt;=$E36),1,IF(AND($F36&gt;0,AR$6=$F36),"◆",""))</f>
        <v/>
      </c>
      <c r="AS36" s="78" t="str">
        <f>IF(AND($D36&gt;0,AS$6&gt;=$D36,AS$6&lt;=$E36),1,IF(AND($F36&gt;0,AS$6=$F36),"◆",""))</f>
        <v/>
      </c>
      <c r="AT36" s="78" t="str">
        <f>IF(AND($D36&gt;0,AT$6&gt;=$D36,AT$6&lt;=$E36),1,IF(AND($F36&gt;0,AT$6=$F36),"◆",""))</f>
        <v/>
      </c>
      <c r="AU36" s="78" t="str">
        <f>IF(AND($D36&gt;0,AU$6&gt;=$D36,AU$6&lt;=$E36),1,IF(AND($F36&gt;0,AU$6=$F36),"◆",""))</f>
        <v/>
      </c>
      <c r="AV36" s="78" t="str">
        <f>IF(AND($D36&gt;0,AV$6&gt;=$D36,AV$6&lt;=$E36),1,IF(AND($F36&gt;0,AV$6=$F36),"◆",""))</f>
        <v/>
      </c>
      <c r="AW36" s="78" t="str">
        <f>IF(AND($D36&gt;0,AW$6&gt;=$D36,AW$6&lt;=$E36),1,IF(AND($F36&gt;0,AW$6=$F36),"◆",""))</f>
        <v/>
      </c>
      <c r="AX36" s="78" t="str">
        <f>IF(AND($D36&gt;0,AX$6&gt;=$D36,AX$6&lt;=$E36),1,IF(AND($F36&gt;0,AX$6=$F36),"◆",""))</f>
        <v/>
      </c>
      <c r="AY36" s="78" t="str">
        <f>IF(AND($D36&gt;0,AY$6&gt;=$D36,AY$6&lt;=$E36),1,IF(AND($F36&gt;0,AY$6=$F36),"◆",""))</f>
        <v/>
      </c>
      <c r="AZ36" s="78" t="str">
        <f>IF(AND($D36&gt;0,AZ$6&gt;=$D36,AZ$6&lt;=$E36),1,IF(AND($F36&gt;0,AZ$6=$F36),"◆",""))</f>
        <v/>
      </c>
      <c r="BA36" s="78" t="str">
        <f>IF(AND($D36&gt;0,BA$6&gt;=$D36,BA$6&lt;=$E36),1,IF(AND($F36&gt;0,BA$6=$F36),"◆",""))</f>
        <v/>
      </c>
      <c r="BB36" s="78" t="str">
        <f>IF(AND($D36&gt;0,BB$6&gt;=$D36,BB$6&lt;=$E36),1,IF(AND($F36&gt;0,BB$6=$F36),"◆",""))</f>
        <v/>
      </c>
      <c r="BC36" s="78" t="str">
        <f>IF(AND($D36&gt;0,BC$6&gt;=$D36,BC$6&lt;=$E36),1,IF(AND($F36&gt;0,BC$6=$F36),"◆",""))</f>
        <v/>
      </c>
      <c r="BD36" s="78" t="str">
        <f>IF(AND($D36&gt;0,BD$6&gt;=$D36,BD$6&lt;=$E36),1,IF(AND($F36&gt;0,BD$6=$F36),"◆",""))</f>
        <v/>
      </c>
      <c r="BE36" s="78" t="str">
        <f>IF(AND($D36&gt;0,BE$6&gt;=$D36,BE$6&lt;=$E36),1,IF(AND($F36&gt;0,BE$6=$F36),"◆",""))</f>
        <v/>
      </c>
      <c r="BF36" s="78" t="str">
        <f>IF(AND($D36&gt;0,BF$6&gt;=$D36,BF$6&lt;=$E36),1,IF(AND($F36&gt;0,BF$6=$F36),"◆",""))</f>
        <v/>
      </c>
      <c r="BG36" s="78" t="str">
        <f>IF(AND($D36&gt;0,BG$6&gt;=$D36,BG$6&lt;=$E36),1,IF(AND($F36&gt;0,BG$6=$F36),"◆",""))</f>
        <v/>
      </c>
      <c r="BH36" s="78" t="str">
        <f>IF(AND($D36&gt;0,BH$6&gt;=$D36,BH$6&lt;=$E36),1,IF(AND($F36&gt;0,BH$6=$F36),"◆",""))</f>
        <v/>
      </c>
      <c r="BI36" s="78" t="str">
        <f>IF(AND($D36&gt;0,BI$6&gt;=$D36,BI$6&lt;=$E36),1,IF(AND($F36&gt;0,BI$6=$F36),"◆",""))</f>
        <v/>
      </c>
      <c r="BJ36" s="78" t="str">
        <f>IF(AND($D36&gt;0,BJ$6&gt;=$D36,BJ$6&lt;=$E36),1,IF(AND($F36&gt;0,BJ$6=$F36),"◆",""))</f>
        <v/>
      </c>
      <c r="BK36" s="78" t="str">
        <f>IF(AND($D36&gt;0,BK$6&gt;=$D36,BK$6&lt;=$E36),1,IF(AND($F36&gt;0,BK$6=$F36),"◆",""))</f>
        <v/>
      </c>
      <c r="BL36" s="78" t="str">
        <f>IF(AND($D36&gt;0,BL$6&gt;=$D36,BL$6&lt;=$E36),1,IF(AND($F36&gt;0,BL$6=$F36),"◆",""))</f>
        <v/>
      </c>
      <c r="BM36" s="78" t="str">
        <f>IF(AND($D36&gt;0,BM$6&gt;=$D36,BM$6&lt;=$E36),1,IF(AND($F36&gt;0,BM$6=$F36),"◆",""))</f>
        <v/>
      </c>
      <c r="BN36" s="78" t="str">
        <f>IF(AND($D36&gt;0,BN$6&gt;=$D36,BN$6&lt;=$E36),1,IF(AND($F36&gt;0,BN$6=$F36),"◆",""))</f>
        <v/>
      </c>
      <c r="BO36" s="78" t="str">
        <f>IF(AND($D36&gt;0,BO$6&gt;=$D36,BO$6&lt;=$E36),1,IF(AND($F36&gt;0,BO$6=$F36),"◆",""))</f>
        <v/>
      </c>
      <c r="BP36" s="78" t="str">
        <f>IF(AND($D36&gt;0,BP$6&gt;=$D36,BP$6&lt;=$E36),1,IF(AND($F36&gt;0,BP$6=$F36),"◆",""))</f>
        <v/>
      </c>
    </row>
    <row r="37">
      <c r="A37" s="75" t="str">
        <f>IF(INDEX(of_ref,31)="","",INDEX(of_num,31)&amp;"")</f>
        <v>OF-2612-031</v>
      </c>
      <c r="B37" s="75" t="str">
        <f>IF(INDEX(of_ref,31)="","",INDEX(of_des,31)&amp;"")</f>
        <v>Bras de suspension soudé</v>
      </c>
      <c r="C37" s="76" t="str">
        <f>IF(INDEX(of_ref,31)="","",INDEX(of_poste,31)&amp;"")</f>
        <v>SOUD</v>
      </c>
      <c r="D37" s="77">
        <f>INDEX(of_start,31)</f>
        <v>46351.0</v>
      </c>
      <c r="E37" s="77">
        <f>INDEX(of_end,31)</f>
        <v>46353.0</v>
      </c>
      <c r="F37" s="77">
        <f>IF(N(INDEX(of_need,31))=0,0,INDEX(of_need,31))</f>
        <v>46377.0</v>
      </c>
      <c r="G37" s="76" t="str">
        <f>IF(INDEX(of_ref,31)="","",INDEX(of_etat,31)&amp;"")</f>
        <v>À l'heure</v>
      </c>
      <c r="I37" s="78" t="str">
        <f>IF(AND($D37&gt;0,I$6&gt;=$D37,I$6&lt;=$E37),1,IF(AND($F37&gt;0,I$6=$F37),"◆",""))</f>
        <v/>
      </c>
      <c r="J37" s="78" t="str">
        <f>IF(AND($D37&gt;0,J$6&gt;=$D37,J$6&lt;=$E37),1,IF(AND($F37&gt;0,J$6=$F37),"◆",""))</f>
        <v/>
      </c>
      <c r="K37" s="78" t="str">
        <f>IF(AND($D37&gt;0,K$6&gt;=$D37,K$6&lt;=$E37),1,IF(AND($F37&gt;0,K$6=$F37),"◆",""))</f>
        <v/>
      </c>
      <c r="L37" s="78" t="str">
        <f>IF(AND($D37&gt;0,L$6&gt;=$D37,L$6&lt;=$E37),1,IF(AND($F37&gt;0,L$6=$F37),"◆",""))</f>
        <v/>
      </c>
      <c r="M37" s="78" t="str">
        <f>IF(AND($D37&gt;0,M$6&gt;=$D37,M$6&lt;=$E37),1,IF(AND($F37&gt;0,M$6=$F37),"◆",""))</f>
        <v/>
      </c>
      <c r="N37" s="78" t="str">
        <f>IF(AND($D37&gt;0,N$6&gt;=$D37,N$6&lt;=$E37),1,IF(AND($F37&gt;0,N$6=$F37),"◆",""))</f>
        <v/>
      </c>
      <c r="O37" s="78" t="str">
        <f>IF(AND($D37&gt;0,O$6&gt;=$D37,O$6&lt;=$E37),1,IF(AND($F37&gt;0,O$6=$F37),"◆",""))</f>
        <v/>
      </c>
      <c r="P37" s="78" t="str">
        <f>IF(AND($D37&gt;0,P$6&gt;=$D37,P$6&lt;=$E37),1,IF(AND($F37&gt;0,P$6=$F37),"◆",""))</f>
        <v/>
      </c>
      <c r="Q37" s="78" t="str">
        <f>IF(AND($D37&gt;0,Q$6&gt;=$D37,Q$6&lt;=$E37),1,IF(AND($F37&gt;0,Q$6=$F37),"◆",""))</f>
        <v/>
      </c>
      <c r="R37" s="78" t="str">
        <f>IF(AND($D37&gt;0,R$6&gt;=$D37,R$6&lt;=$E37),1,IF(AND($F37&gt;0,R$6=$F37),"◆",""))</f>
        <v/>
      </c>
      <c r="S37" s="78" t="str">
        <f>IF(AND($D37&gt;0,S$6&gt;=$D37,S$6&lt;=$E37),1,IF(AND($F37&gt;0,S$6=$F37),"◆",""))</f>
        <v/>
      </c>
      <c r="T37" s="78" t="str">
        <f>IF(AND($D37&gt;0,T$6&gt;=$D37,T$6&lt;=$E37),1,IF(AND($F37&gt;0,T$6=$F37),"◆",""))</f>
        <v/>
      </c>
      <c r="U37" s="78" t="str">
        <f>IF(AND($D37&gt;0,U$6&gt;=$D37,U$6&lt;=$E37),1,IF(AND($F37&gt;0,U$6=$F37),"◆",""))</f>
        <v/>
      </c>
      <c r="V37" s="78" t="str">
        <f>IF(AND($D37&gt;0,V$6&gt;=$D37,V$6&lt;=$E37),1,IF(AND($F37&gt;0,V$6=$F37),"◆",""))</f>
        <v/>
      </c>
      <c r="W37" s="78" t="str">
        <f>IF(AND($D37&gt;0,W$6&gt;=$D37,W$6&lt;=$E37),1,IF(AND($F37&gt;0,W$6=$F37),"◆",""))</f>
        <v/>
      </c>
      <c r="X37" s="78">
        <f>IF(AND($D37&gt;0,X$6&gt;=$D37,X$6&lt;=$E37),1,IF(AND($F37&gt;0,X$6=$F37),"◆",""))</f>
        <v>1.0</v>
      </c>
      <c r="Y37" s="78">
        <f>IF(AND($D37&gt;0,Y$6&gt;=$D37,Y$6&lt;=$E37),1,IF(AND($F37&gt;0,Y$6=$F37),"◆",""))</f>
        <v>1.0</v>
      </c>
      <c r="Z37" s="78">
        <f>IF(AND($D37&gt;0,Z$6&gt;=$D37,Z$6&lt;=$E37),1,IF(AND($F37&gt;0,Z$6=$F37),"◆",""))</f>
        <v>1.0</v>
      </c>
      <c r="AA37" s="78" t="str">
        <f>IF(AND($D37&gt;0,AA$6&gt;=$D37,AA$6&lt;=$E37),1,IF(AND($F37&gt;0,AA$6=$F37),"◆",""))</f>
        <v/>
      </c>
      <c r="AB37" s="78" t="str">
        <f>IF(AND($D37&gt;0,AB$6&gt;=$D37,AB$6&lt;=$E37),1,IF(AND($F37&gt;0,AB$6=$F37),"◆",""))</f>
        <v/>
      </c>
      <c r="AC37" s="78" t="str">
        <f>IF(AND($D37&gt;0,AC$6&gt;=$D37,AC$6&lt;=$E37),1,IF(AND($F37&gt;0,AC$6=$F37),"◆",""))</f>
        <v/>
      </c>
      <c r="AD37" s="78" t="str">
        <f>IF(AND($D37&gt;0,AD$6&gt;=$D37,AD$6&lt;=$E37),1,IF(AND($F37&gt;0,AD$6=$F37),"◆",""))</f>
        <v/>
      </c>
      <c r="AE37" s="78" t="str">
        <f>IF(AND($D37&gt;0,AE$6&gt;=$D37,AE$6&lt;=$E37),1,IF(AND($F37&gt;0,AE$6=$F37),"◆",""))</f>
        <v/>
      </c>
      <c r="AF37" s="78" t="str">
        <f>IF(AND($D37&gt;0,AF$6&gt;=$D37,AF$6&lt;=$E37),1,IF(AND($F37&gt;0,AF$6=$F37),"◆",""))</f>
        <v/>
      </c>
      <c r="AG37" s="78" t="str">
        <f>IF(AND($D37&gt;0,AG$6&gt;=$D37,AG$6&lt;=$E37),1,IF(AND($F37&gt;0,AG$6=$F37),"◆",""))</f>
        <v/>
      </c>
      <c r="AH37" s="78" t="str">
        <f>IF(AND($D37&gt;0,AH$6&gt;=$D37,AH$6&lt;=$E37),1,IF(AND($F37&gt;0,AH$6=$F37),"◆",""))</f>
        <v/>
      </c>
      <c r="AI37" s="78" t="str">
        <f>IF(AND($D37&gt;0,AI$6&gt;=$D37,AI$6&lt;=$E37),1,IF(AND($F37&gt;0,AI$6=$F37),"◆",""))</f>
        <v/>
      </c>
      <c r="AJ37" s="78" t="str">
        <f>IF(AND($D37&gt;0,AJ$6&gt;=$D37,AJ$6&lt;=$E37),1,IF(AND($F37&gt;0,AJ$6=$F37),"◆",""))</f>
        <v/>
      </c>
      <c r="AK37" s="78" t="str">
        <f>IF(AND($D37&gt;0,AK$6&gt;=$D37,AK$6&lt;=$E37),1,IF(AND($F37&gt;0,AK$6=$F37),"◆",""))</f>
        <v/>
      </c>
      <c r="AL37" s="78" t="str">
        <f>IF(AND($D37&gt;0,AL$6&gt;=$D37,AL$6&lt;=$E37),1,IF(AND($F37&gt;0,AL$6=$F37),"◆",""))</f>
        <v/>
      </c>
      <c r="AM37" s="78" t="str">
        <f>IF(AND($D37&gt;0,AM$6&gt;=$D37,AM$6&lt;=$E37),1,IF(AND($F37&gt;0,AM$6=$F37),"◆",""))</f>
        <v/>
      </c>
      <c r="AN37" s="78" t="str">
        <f>IF(AND($D37&gt;0,AN$6&gt;=$D37,AN$6&lt;=$E37),1,IF(AND($F37&gt;0,AN$6=$F37),"◆",""))</f>
        <v/>
      </c>
      <c r="AO37" s="78" t="str">
        <f>IF(AND($D37&gt;0,AO$6&gt;=$D37,AO$6&lt;=$E37),1,IF(AND($F37&gt;0,AO$6=$F37),"◆",""))</f>
        <v/>
      </c>
      <c r="AP37" s="78" t="str">
        <f>IF(AND($D37&gt;0,AP$6&gt;=$D37,AP$6&lt;=$E37),1,IF(AND($F37&gt;0,AP$6=$F37),"◆",""))</f>
        <v>◆</v>
      </c>
      <c r="AQ37" s="78" t="str">
        <f>IF(AND($D37&gt;0,AQ$6&gt;=$D37,AQ$6&lt;=$E37),1,IF(AND($F37&gt;0,AQ$6=$F37),"◆",""))</f>
        <v/>
      </c>
      <c r="AR37" s="78" t="str">
        <f>IF(AND($D37&gt;0,AR$6&gt;=$D37,AR$6&lt;=$E37),1,IF(AND($F37&gt;0,AR$6=$F37),"◆",""))</f>
        <v/>
      </c>
      <c r="AS37" s="78" t="str">
        <f>IF(AND($D37&gt;0,AS$6&gt;=$D37,AS$6&lt;=$E37),1,IF(AND($F37&gt;0,AS$6=$F37),"◆",""))</f>
        <v/>
      </c>
      <c r="AT37" s="78" t="str">
        <f>IF(AND($D37&gt;0,AT$6&gt;=$D37,AT$6&lt;=$E37),1,IF(AND($F37&gt;0,AT$6=$F37),"◆",""))</f>
        <v/>
      </c>
      <c r="AU37" s="78" t="str">
        <f>IF(AND($D37&gt;0,AU$6&gt;=$D37,AU$6&lt;=$E37),1,IF(AND($F37&gt;0,AU$6=$F37),"◆",""))</f>
        <v/>
      </c>
      <c r="AV37" s="78" t="str">
        <f>IF(AND($D37&gt;0,AV$6&gt;=$D37,AV$6&lt;=$E37),1,IF(AND($F37&gt;0,AV$6=$F37),"◆",""))</f>
        <v/>
      </c>
      <c r="AW37" s="78" t="str">
        <f>IF(AND($D37&gt;0,AW$6&gt;=$D37,AW$6&lt;=$E37),1,IF(AND($F37&gt;0,AW$6=$F37),"◆",""))</f>
        <v/>
      </c>
      <c r="AX37" s="78" t="str">
        <f>IF(AND($D37&gt;0,AX$6&gt;=$D37,AX$6&lt;=$E37),1,IF(AND($F37&gt;0,AX$6=$F37),"◆",""))</f>
        <v/>
      </c>
      <c r="AY37" s="78" t="str">
        <f>IF(AND($D37&gt;0,AY$6&gt;=$D37,AY$6&lt;=$E37),1,IF(AND($F37&gt;0,AY$6=$F37),"◆",""))</f>
        <v/>
      </c>
      <c r="AZ37" s="78" t="str">
        <f>IF(AND($D37&gt;0,AZ$6&gt;=$D37,AZ$6&lt;=$E37),1,IF(AND($F37&gt;0,AZ$6=$F37),"◆",""))</f>
        <v/>
      </c>
      <c r="BA37" s="78" t="str">
        <f>IF(AND($D37&gt;0,BA$6&gt;=$D37,BA$6&lt;=$E37),1,IF(AND($F37&gt;0,BA$6=$F37),"◆",""))</f>
        <v/>
      </c>
      <c r="BB37" s="78" t="str">
        <f>IF(AND($D37&gt;0,BB$6&gt;=$D37,BB$6&lt;=$E37),1,IF(AND($F37&gt;0,BB$6=$F37),"◆",""))</f>
        <v/>
      </c>
      <c r="BC37" s="78" t="str">
        <f>IF(AND($D37&gt;0,BC$6&gt;=$D37,BC$6&lt;=$E37),1,IF(AND($F37&gt;0,BC$6=$F37),"◆",""))</f>
        <v/>
      </c>
      <c r="BD37" s="78" t="str">
        <f>IF(AND($D37&gt;0,BD$6&gt;=$D37,BD$6&lt;=$E37),1,IF(AND($F37&gt;0,BD$6=$F37),"◆",""))</f>
        <v/>
      </c>
      <c r="BE37" s="78" t="str">
        <f>IF(AND($D37&gt;0,BE$6&gt;=$D37,BE$6&lt;=$E37),1,IF(AND($F37&gt;0,BE$6=$F37),"◆",""))</f>
        <v/>
      </c>
      <c r="BF37" s="78" t="str">
        <f>IF(AND($D37&gt;0,BF$6&gt;=$D37,BF$6&lt;=$E37),1,IF(AND($F37&gt;0,BF$6=$F37),"◆",""))</f>
        <v/>
      </c>
      <c r="BG37" s="78" t="str">
        <f>IF(AND($D37&gt;0,BG$6&gt;=$D37,BG$6&lt;=$E37),1,IF(AND($F37&gt;0,BG$6=$F37),"◆",""))</f>
        <v/>
      </c>
      <c r="BH37" s="78" t="str">
        <f>IF(AND($D37&gt;0,BH$6&gt;=$D37,BH$6&lt;=$E37),1,IF(AND($F37&gt;0,BH$6=$F37),"◆",""))</f>
        <v/>
      </c>
      <c r="BI37" s="78" t="str">
        <f>IF(AND($D37&gt;0,BI$6&gt;=$D37,BI$6&lt;=$E37),1,IF(AND($F37&gt;0,BI$6=$F37),"◆",""))</f>
        <v/>
      </c>
      <c r="BJ37" s="78" t="str">
        <f>IF(AND($D37&gt;0,BJ$6&gt;=$D37,BJ$6&lt;=$E37),1,IF(AND($F37&gt;0,BJ$6=$F37),"◆",""))</f>
        <v/>
      </c>
      <c r="BK37" s="78" t="str">
        <f>IF(AND($D37&gt;0,BK$6&gt;=$D37,BK$6&lt;=$E37),1,IF(AND($F37&gt;0,BK$6=$F37),"◆",""))</f>
        <v/>
      </c>
      <c r="BL37" s="78" t="str">
        <f>IF(AND($D37&gt;0,BL$6&gt;=$D37,BL$6&lt;=$E37),1,IF(AND($F37&gt;0,BL$6=$F37),"◆",""))</f>
        <v/>
      </c>
      <c r="BM37" s="78" t="str">
        <f>IF(AND($D37&gt;0,BM$6&gt;=$D37,BM$6&lt;=$E37),1,IF(AND($F37&gt;0,BM$6=$F37),"◆",""))</f>
        <v/>
      </c>
      <c r="BN37" s="78" t="str">
        <f>IF(AND($D37&gt;0,BN$6&gt;=$D37,BN$6&lt;=$E37),1,IF(AND($F37&gt;0,BN$6=$F37),"◆",""))</f>
        <v/>
      </c>
      <c r="BO37" s="78" t="str">
        <f>IF(AND($D37&gt;0,BO$6&gt;=$D37,BO$6&lt;=$E37),1,IF(AND($F37&gt;0,BO$6=$F37),"◆",""))</f>
        <v/>
      </c>
      <c r="BP37" s="78" t="str">
        <f>IF(AND($D37&gt;0,BP$6&gt;=$D37,BP$6&lt;=$E37),1,IF(AND($F37&gt;0,BP$6=$F37),"◆",""))</f>
        <v/>
      </c>
    </row>
    <row r="38">
      <c r="A38" s="75" t="str">
        <f>IF(INDEX(of_ref,32)="","",INDEX(of_num,32)&amp;"")</f>
        <v>OF-2612-032</v>
      </c>
      <c r="B38" s="75" t="str">
        <f>IF(INDEX(of_ref,32)="","",INDEX(of_des,32)&amp;"")</f>
        <v>Carter de boîte usiné</v>
      </c>
      <c r="C38" s="76" t="str">
        <f>IF(INDEX(of_ref,32)="","",INDEX(of_poste,32)&amp;"")</f>
        <v>FRAIS</v>
      </c>
      <c r="D38" s="77">
        <f>INDEX(of_start,32)</f>
        <v>0.0</v>
      </c>
      <c r="E38" s="77">
        <f>INDEX(of_end,32)</f>
        <v>0.0</v>
      </c>
      <c r="F38" s="77">
        <f>IF(N(INDEX(of_need,32))=0,0,INDEX(of_need,32))</f>
        <v>46378.0</v>
      </c>
      <c r="G38" s="76" t="str">
        <f>IF(INDEX(of_ref,32)="","",INDEX(of_etat,32)&amp;"")</f>
        <v>Annulé</v>
      </c>
      <c r="I38" s="78" t="str">
        <f>IF(AND($D38&gt;0,I$6&gt;=$D38,I$6&lt;=$E38),1,IF(AND($F38&gt;0,I$6=$F38),"◆",""))</f>
        <v/>
      </c>
      <c r="J38" s="78" t="str">
        <f>IF(AND($D38&gt;0,J$6&gt;=$D38,J$6&lt;=$E38),1,IF(AND($F38&gt;0,J$6=$F38),"◆",""))</f>
        <v/>
      </c>
      <c r="K38" s="78" t="str">
        <f>IF(AND($D38&gt;0,K$6&gt;=$D38,K$6&lt;=$E38),1,IF(AND($F38&gt;0,K$6=$F38),"◆",""))</f>
        <v/>
      </c>
      <c r="L38" s="78" t="str">
        <f>IF(AND($D38&gt;0,L$6&gt;=$D38,L$6&lt;=$E38),1,IF(AND($F38&gt;0,L$6=$F38),"◆",""))</f>
        <v/>
      </c>
      <c r="M38" s="78" t="str">
        <f>IF(AND($D38&gt;0,M$6&gt;=$D38,M$6&lt;=$E38),1,IF(AND($F38&gt;0,M$6=$F38),"◆",""))</f>
        <v/>
      </c>
      <c r="N38" s="78" t="str">
        <f>IF(AND($D38&gt;0,N$6&gt;=$D38,N$6&lt;=$E38),1,IF(AND($F38&gt;0,N$6=$F38),"◆",""))</f>
        <v/>
      </c>
      <c r="O38" s="78" t="str">
        <f>IF(AND($D38&gt;0,O$6&gt;=$D38,O$6&lt;=$E38),1,IF(AND($F38&gt;0,O$6=$F38),"◆",""))</f>
        <v/>
      </c>
      <c r="P38" s="78" t="str">
        <f>IF(AND($D38&gt;0,P$6&gt;=$D38,P$6&lt;=$E38),1,IF(AND($F38&gt;0,P$6=$F38),"◆",""))</f>
        <v/>
      </c>
      <c r="Q38" s="78" t="str">
        <f>IF(AND($D38&gt;0,Q$6&gt;=$D38,Q$6&lt;=$E38),1,IF(AND($F38&gt;0,Q$6=$F38),"◆",""))</f>
        <v/>
      </c>
      <c r="R38" s="78" t="str">
        <f>IF(AND($D38&gt;0,R$6&gt;=$D38,R$6&lt;=$E38),1,IF(AND($F38&gt;0,R$6=$F38),"◆",""))</f>
        <v/>
      </c>
      <c r="S38" s="78" t="str">
        <f>IF(AND($D38&gt;0,S$6&gt;=$D38,S$6&lt;=$E38),1,IF(AND($F38&gt;0,S$6=$F38),"◆",""))</f>
        <v/>
      </c>
      <c r="T38" s="78" t="str">
        <f>IF(AND($D38&gt;0,T$6&gt;=$D38,T$6&lt;=$E38),1,IF(AND($F38&gt;0,T$6=$F38),"◆",""))</f>
        <v/>
      </c>
      <c r="U38" s="78" t="str">
        <f>IF(AND($D38&gt;0,U$6&gt;=$D38,U$6&lt;=$E38),1,IF(AND($F38&gt;0,U$6=$F38),"◆",""))</f>
        <v/>
      </c>
      <c r="V38" s="78" t="str">
        <f>IF(AND($D38&gt;0,V$6&gt;=$D38,V$6&lt;=$E38),1,IF(AND($F38&gt;0,V$6=$F38),"◆",""))</f>
        <v/>
      </c>
      <c r="W38" s="78" t="str">
        <f>IF(AND($D38&gt;0,W$6&gt;=$D38,W$6&lt;=$E38),1,IF(AND($F38&gt;0,W$6=$F38),"◆",""))</f>
        <v/>
      </c>
      <c r="X38" s="78" t="str">
        <f>IF(AND($D38&gt;0,X$6&gt;=$D38,X$6&lt;=$E38),1,IF(AND($F38&gt;0,X$6=$F38),"◆",""))</f>
        <v/>
      </c>
      <c r="Y38" s="78" t="str">
        <f>IF(AND($D38&gt;0,Y$6&gt;=$D38,Y$6&lt;=$E38),1,IF(AND($F38&gt;0,Y$6=$F38),"◆",""))</f>
        <v/>
      </c>
      <c r="Z38" s="78" t="str">
        <f>IF(AND($D38&gt;0,Z$6&gt;=$D38,Z$6&lt;=$E38),1,IF(AND($F38&gt;0,Z$6=$F38),"◆",""))</f>
        <v/>
      </c>
      <c r="AA38" s="78" t="str">
        <f>IF(AND($D38&gt;0,AA$6&gt;=$D38,AA$6&lt;=$E38),1,IF(AND($F38&gt;0,AA$6=$F38),"◆",""))</f>
        <v/>
      </c>
      <c r="AB38" s="78" t="str">
        <f>IF(AND($D38&gt;0,AB$6&gt;=$D38,AB$6&lt;=$E38),1,IF(AND($F38&gt;0,AB$6=$F38),"◆",""))</f>
        <v/>
      </c>
      <c r="AC38" s="78" t="str">
        <f>IF(AND($D38&gt;0,AC$6&gt;=$D38,AC$6&lt;=$E38),1,IF(AND($F38&gt;0,AC$6=$F38),"◆",""))</f>
        <v/>
      </c>
      <c r="AD38" s="78" t="str">
        <f>IF(AND($D38&gt;0,AD$6&gt;=$D38,AD$6&lt;=$E38),1,IF(AND($F38&gt;0,AD$6=$F38),"◆",""))</f>
        <v/>
      </c>
      <c r="AE38" s="78" t="str">
        <f>IF(AND($D38&gt;0,AE$6&gt;=$D38,AE$6&lt;=$E38),1,IF(AND($F38&gt;0,AE$6=$F38),"◆",""))</f>
        <v/>
      </c>
      <c r="AF38" s="78" t="str">
        <f>IF(AND($D38&gt;0,AF$6&gt;=$D38,AF$6&lt;=$E38),1,IF(AND($F38&gt;0,AF$6=$F38),"◆",""))</f>
        <v/>
      </c>
      <c r="AG38" s="78" t="str">
        <f>IF(AND($D38&gt;0,AG$6&gt;=$D38,AG$6&lt;=$E38),1,IF(AND($F38&gt;0,AG$6=$F38),"◆",""))</f>
        <v/>
      </c>
      <c r="AH38" s="78" t="str">
        <f>IF(AND($D38&gt;0,AH$6&gt;=$D38,AH$6&lt;=$E38),1,IF(AND($F38&gt;0,AH$6=$F38),"◆",""))</f>
        <v/>
      </c>
      <c r="AI38" s="78" t="str">
        <f>IF(AND($D38&gt;0,AI$6&gt;=$D38,AI$6&lt;=$E38),1,IF(AND($F38&gt;0,AI$6=$F38),"◆",""))</f>
        <v/>
      </c>
      <c r="AJ38" s="78" t="str">
        <f>IF(AND($D38&gt;0,AJ$6&gt;=$D38,AJ$6&lt;=$E38),1,IF(AND($F38&gt;0,AJ$6=$F38),"◆",""))</f>
        <v/>
      </c>
      <c r="AK38" s="78" t="str">
        <f>IF(AND($D38&gt;0,AK$6&gt;=$D38,AK$6&lt;=$E38),1,IF(AND($F38&gt;0,AK$6=$F38),"◆",""))</f>
        <v/>
      </c>
      <c r="AL38" s="78" t="str">
        <f>IF(AND($D38&gt;0,AL$6&gt;=$D38,AL$6&lt;=$E38),1,IF(AND($F38&gt;0,AL$6=$F38),"◆",""))</f>
        <v/>
      </c>
      <c r="AM38" s="78" t="str">
        <f>IF(AND($D38&gt;0,AM$6&gt;=$D38,AM$6&lt;=$E38),1,IF(AND($F38&gt;0,AM$6=$F38),"◆",""))</f>
        <v/>
      </c>
      <c r="AN38" s="78" t="str">
        <f>IF(AND($D38&gt;0,AN$6&gt;=$D38,AN$6&lt;=$E38),1,IF(AND($F38&gt;0,AN$6=$F38),"◆",""))</f>
        <v/>
      </c>
      <c r="AO38" s="78" t="str">
        <f>IF(AND($D38&gt;0,AO$6&gt;=$D38,AO$6&lt;=$E38),1,IF(AND($F38&gt;0,AO$6=$F38),"◆",""))</f>
        <v/>
      </c>
      <c r="AP38" s="78" t="str">
        <f>IF(AND($D38&gt;0,AP$6&gt;=$D38,AP$6&lt;=$E38),1,IF(AND($F38&gt;0,AP$6=$F38),"◆",""))</f>
        <v/>
      </c>
      <c r="AQ38" s="78" t="str">
        <f>IF(AND($D38&gt;0,AQ$6&gt;=$D38,AQ$6&lt;=$E38),1,IF(AND($F38&gt;0,AQ$6=$F38),"◆",""))</f>
        <v>◆</v>
      </c>
      <c r="AR38" s="78" t="str">
        <f>IF(AND($D38&gt;0,AR$6&gt;=$D38,AR$6&lt;=$E38),1,IF(AND($F38&gt;0,AR$6=$F38),"◆",""))</f>
        <v/>
      </c>
      <c r="AS38" s="78" t="str">
        <f>IF(AND($D38&gt;0,AS$6&gt;=$D38,AS$6&lt;=$E38),1,IF(AND($F38&gt;0,AS$6=$F38),"◆",""))</f>
        <v/>
      </c>
      <c r="AT38" s="78" t="str">
        <f>IF(AND($D38&gt;0,AT$6&gt;=$D38,AT$6&lt;=$E38),1,IF(AND($F38&gt;0,AT$6=$F38),"◆",""))</f>
        <v/>
      </c>
      <c r="AU38" s="78" t="str">
        <f>IF(AND($D38&gt;0,AU$6&gt;=$D38,AU$6&lt;=$E38),1,IF(AND($F38&gt;0,AU$6=$F38),"◆",""))</f>
        <v/>
      </c>
      <c r="AV38" s="78" t="str">
        <f>IF(AND($D38&gt;0,AV$6&gt;=$D38,AV$6&lt;=$E38),1,IF(AND($F38&gt;0,AV$6=$F38),"◆",""))</f>
        <v/>
      </c>
      <c r="AW38" s="78" t="str">
        <f>IF(AND($D38&gt;0,AW$6&gt;=$D38,AW$6&lt;=$E38),1,IF(AND($F38&gt;0,AW$6=$F38),"◆",""))</f>
        <v/>
      </c>
      <c r="AX38" s="78" t="str">
        <f>IF(AND($D38&gt;0,AX$6&gt;=$D38,AX$6&lt;=$E38),1,IF(AND($F38&gt;0,AX$6=$F38),"◆",""))</f>
        <v/>
      </c>
      <c r="AY38" s="78" t="str">
        <f>IF(AND($D38&gt;0,AY$6&gt;=$D38,AY$6&lt;=$E38),1,IF(AND($F38&gt;0,AY$6=$F38),"◆",""))</f>
        <v/>
      </c>
      <c r="AZ38" s="78" t="str">
        <f>IF(AND($D38&gt;0,AZ$6&gt;=$D38,AZ$6&lt;=$E38),1,IF(AND($F38&gt;0,AZ$6=$F38),"◆",""))</f>
        <v/>
      </c>
      <c r="BA38" s="78" t="str">
        <f>IF(AND($D38&gt;0,BA$6&gt;=$D38,BA$6&lt;=$E38),1,IF(AND($F38&gt;0,BA$6=$F38),"◆",""))</f>
        <v/>
      </c>
      <c r="BB38" s="78" t="str">
        <f>IF(AND($D38&gt;0,BB$6&gt;=$D38,BB$6&lt;=$E38),1,IF(AND($F38&gt;0,BB$6=$F38),"◆",""))</f>
        <v/>
      </c>
      <c r="BC38" s="78" t="str">
        <f>IF(AND($D38&gt;0,BC$6&gt;=$D38,BC$6&lt;=$E38),1,IF(AND($F38&gt;0,BC$6=$F38),"◆",""))</f>
        <v/>
      </c>
      <c r="BD38" s="78" t="str">
        <f>IF(AND($D38&gt;0,BD$6&gt;=$D38,BD$6&lt;=$E38),1,IF(AND($F38&gt;0,BD$6=$F38),"◆",""))</f>
        <v/>
      </c>
      <c r="BE38" s="78" t="str">
        <f>IF(AND($D38&gt;0,BE$6&gt;=$D38,BE$6&lt;=$E38),1,IF(AND($F38&gt;0,BE$6=$F38),"◆",""))</f>
        <v/>
      </c>
      <c r="BF38" s="78" t="str">
        <f>IF(AND($D38&gt;0,BF$6&gt;=$D38,BF$6&lt;=$E38),1,IF(AND($F38&gt;0,BF$6=$F38),"◆",""))</f>
        <v/>
      </c>
      <c r="BG38" s="78" t="str">
        <f>IF(AND($D38&gt;0,BG$6&gt;=$D38,BG$6&lt;=$E38),1,IF(AND($F38&gt;0,BG$6=$F38),"◆",""))</f>
        <v/>
      </c>
      <c r="BH38" s="78" t="str">
        <f>IF(AND($D38&gt;0,BH$6&gt;=$D38,BH$6&lt;=$E38),1,IF(AND($F38&gt;0,BH$6=$F38),"◆",""))</f>
        <v/>
      </c>
      <c r="BI38" s="78" t="str">
        <f>IF(AND($D38&gt;0,BI$6&gt;=$D38,BI$6&lt;=$E38),1,IF(AND($F38&gt;0,BI$6=$F38),"◆",""))</f>
        <v/>
      </c>
      <c r="BJ38" s="78" t="str">
        <f>IF(AND($D38&gt;0,BJ$6&gt;=$D38,BJ$6&lt;=$E38),1,IF(AND($F38&gt;0,BJ$6=$F38),"◆",""))</f>
        <v/>
      </c>
      <c r="BK38" s="78" t="str">
        <f>IF(AND($D38&gt;0,BK$6&gt;=$D38,BK$6&lt;=$E38),1,IF(AND($F38&gt;0,BK$6=$F38),"◆",""))</f>
        <v/>
      </c>
      <c r="BL38" s="78" t="str">
        <f>IF(AND($D38&gt;0,BL$6&gt;=$D38,BL$6&lt;=$E38),1,IF(AND($F38&gt;0,BL$6=$F38),"◆",""))</f>
        <v/>
      </c>
      <c r="BM38" s="78" t="str">
        <f>IF(AND($D38&gt;0,BM$6&gt;=$D38,BM$6&lt;=$E38),1,IF(AND($F38&gt;0,BM$6=$F38),"◆",""))</f>
        <v/>
      </c>
      <c r="BN38" s="78" t="str">
        <f>IF(AND($D38&gt;0,BN$6&gt;=$D38,BN$6&lt;=$E38),1,IF(AND($F38&gt;0,BN$6=$F38),"◆",""))</f>
        <v/>
      </c>
      <c r="BO38" s="78" t="str">
        <f>IF(AND($D38&gt;0,BO$6&gt;=$D38,BO$6&lt;=$E38),1,IF(AND($F38&gt;0,BO$6=$F38),"◆",""))</f>
        <v/>
      </c>
      <c r="BP38" s="78" t="str">
        <f>IF(AND($D38&gt;0,BP$6&gt;=$D38,BP$6&lt;=$E38),1,IF(AND($F38&gt;0,BP$6=$F38),"◆",""))</f>
        <v/>
      </c>
    </row>
    <row r="39">
      <c r="A39" s="75" t="str">
        <f>IF(INDEX(of_ref,33)="","",INDEX(of_num,33)&amp;"")</f>
        <v>OF-2612-033</v>
      </c>
      <c r="B39" s="75" t="str">
        <f>IF(INDEX(of_ref,33)="","",INDEX(of_des,33)&amp;"")</f>
        <v>Tube cadre 40x40 coupé</v>
      </c>
      <c r="C39" s="76" t="str">
        <f>IF(INDEX(of_ref,33)="","",INDEX(of_poste,33)&amp;"")</f>
        <v>SCIE</v>
      </c>
      <c r="D39" s="77">
        <f>INDEX(of_start,33)</f>
        <v>46336.0</v>
      </c>
      <c r="E39" s="77">
        <f>INDEX(of_end,33)</f>
        <v>46338.0</v>
      </c>
      <c r="F39" s="77">
        <f>IF(N(INDEX(of_need,33))=0,0,INDEX(of_need,33))</f>
        <v>46379.0</v>
      </c>
      <c r="G39" s="76" t="str">
        <f>IF(INDEX(of_ref,33)="","",INDEX(of_etat,33)&amp;"")</f>
        <v>À l'heure</v>
      </c>
      <c r="I39" s="78" t="str">
        <f>IF(AND($D39&gt;0,I$6&gt;=$D39,I$6&lt;=$E39),1,IF(AND($F39&gt;0,I$6=$F39),"◆",""))</f>
        <v/>
      </c>
      <c r="J39" s="78" t="str">
        <f>IF(AND($D39&gt;0,J$6&gt;=$D39,J$6&lt;=$E39),1,IF(AND($F39&gt;0,J$6=$F39),"◆",""))</f>
        <v/>
      </c>
      <c r="K39" s="78" t="str">
        <f>IF(AND($D39&gt;0,K$6&gt;=$D39,K$6&lt;=$E39),1,IF(AND($F39&gt;0,K$6=$F39),"◆",""))</f>
        <v/>
      </c>
      <c r="L39" s="78" t="str">
        <f>IF(AND($D39&gt;0,L$6&gt;=$D39,L$6&lt;=$E39),1,IF(AND($F39&gt;0,L$6=$F39),"◆",""))</f>
        <v/>
      </c>
      <c r="M39" s="78" t="str">
        <f>IF(AND($D39&gt;0,M$6&gt;=$D39,M$6&lt;=$E39),1,IF(AND($F39&gt;0,M$6=$F39),"◆",""))</f>
        <v/>
      </c>
      <c r="N39" s="78">
        <f>IF(AND($D39&gt;0,N$6&gt;=$D39,N$6&lt;=$E39),1,IF(AND($F39&gt;0,N$6=$F39),"◆",""))</f>
        <v>1.0</v>
      </c>
      <c r="O39" s="78">
        <f>IF(AND($D39&gt;0,O$6&gt;=$D39,O$6&lt;=$E39),1,IF(AND($F39&gt;0,O$6=$F39),"◆",""))</f>
        <v>1.0</v>
      </c>
      <c r="P39" s="78">
        <f>IF(AND($D39&gt;0,P$6&gt;=$D39,P$6&lt;=$E39),1,IF(AND($F39&gt;0,P$6=$F39),"◆",""))</f>
        <v>1.0</v>
      </c>
      <c r="Q39" s="78" t="str">
        <f>IF(AND($D39&gt;0,Q$6&gt;=$D39,Q$6&lt;=$E39),1,IF(AND($F39&gt;0,Q$6=$F39),"◆",""))</f>
        <v/>
      </c>
      <c r="R39" s="78" t="str">
        <f>IF(AND($D39&gt;0,R$6&gt;=$D39,R$6&lt;=$E39),1,IF(AND($F39&gt;0,R$6=$F39),"◆",""))</f>
        <v/>
      </c>
      <c r="S39" s="78" t="str">
        <f>IF(AND($D39&gt;0,S$6&gt;=$D39,S$6&lt;=$E39),1,IF(AND($F39&gt;0,S$6=$F39),"◆",""))</f>
        <v/>
      </c>
      <c r="T39" s="78" t="str">
        <f>IF(AND($D39&gt;0,T$6&gt;=$D39,T$6&lt;=$E39),1,IF(AND($F39&gt;0,T$6=$F39),"◆",""))</f>
        <v/>
      </c>
      <c r="U39" s="78" t="str">
        <f>IF(AND($D39&gt;0,U$6&gt;=$D39,U$6&lt;=$E39),1,IF(AND($F39&gt;0,U$6=$F39),"◆",""))</f>
        <v/>
      </c>
      <c r="V39" s="78" t="str">
        <f>IF(AND($D39&gt;0,V$6&gt;=$D39,V$6&lt;=$E39),1,IF(AND($F39&gt;0,V$6=$F39),"◆",""))</f>
        <v/>
      </c>
      <c r="W39" s="78" t="str">
        <f>IF(AND($D39&gt;0,W$6&gt;=$D39,W$6&lt;=$E39),1,IF(AND($F39&gt;0,W$6=$F39),"◆",""))</f>
        <v/>
      </c>
      <c r="X39" s="78" t="str">
        <f>IF(AND($D39&gt;0,X$6&gt;=$D39,X$6&lt;=$E39),1,IF(AND($F39&gt;0,X$6=$F39),"◆",""))</f>
        <v/>
      </c>
      <c r="Y39" s="78" t="str">
        <f>IF(AND($D39&gt;0,Y$6&gt;=$D39,Y$6&lt;=$E39),1,IF(AND($F39&gt;0,Y$6=$F39),"◆",""))</f>
        <v/>
      </c>
      <c r="Z39" s="78" t="str">
        <f>IF(AND($D39&gt;0,Z$6&gt;=$D39,Z$6&lt;=$E39),1,IF(AND($F39&gt;0,Z$6=$F39),"◆",""))</f>
        <v/>
      </c>
      <c r="AA39" s="78" t="str">
        <f>IF(AND($D39&gt;0,AA$6&gt;=$D39,AA$6&lt;=$E39),1,IF(AND($F39&gt;0,AA$6=$F39),"◆",""))</f>
        <v/>
      </c>
      <c r="AB39" s="78" t="str">
        <f>IF(AND($D39&gt;0,AB$6&gt;=$D39,AB$6&lt;=$E39),1,IF(AND($F39&gt;0,AB$6=$F39),"◆",""))</f>
        <v/>
      </c>
      <c r="AC39" s="78" t="str">
        <f>IF(AND($D39&gt;0,AC$6&gt;=$D39,AC$6&lt;=$E39),1,IF(AND($F39&gt;0,AC$6=$F39),"◆",""))</f>
        <v/>
      </c>
      <c r="AD39" s="78" t="str">
        <f>IF(AND($D39&gt;0,AD$6&gt;=$D39,AD$6&lt;=$E39),1,IF(AND($F39&gt;0,AD$6=$F39),"◆",""))</f>
        <v/>
      </c>
      <c r="AE39" s="78" t="str">
        <f>IF(AND($D39&gt;0,AE$6&gt;=$D39,AE$6&lt;=$E39),1,IF(AND($F39&gt;0,AE$6=$F39),"◆",""))</f>
        <v/>
      </c>
      <c r="AF39" s="78" t="str">
        <f>IF(AND($D39&gt;0,AF$6&gt;=$D39,AF$6&lt;=$E39),1,IF(AND($F39&gt;0,AF$6=$F39),"◆",""))</f>
        <v/>
      </c>
      <c r="AG39" s="78" t="str">
        <f>IF(AND($D39&gt;0,AG$6&gt;=$D39,AG$6&lt;=$E39),1,IF(AND($F39&gt;0,AG$6=$F39),"◆",""))</f>
        <v/>
      </c>
      <c r="AH39" s="78" t="str">
        <f>IF(AND($D39&gt;0,AH$6&gt;=$D39,AH$6&lt;=$E39),1,IF(AND($F39&gt;0,AH$6=$F39),"◆",""))</f>
        <v/>
      </c>
      <c r="AI39" s="78" t="str">
        <f>IF(AND($D39&gt;0,AI$6&gt;=$D39,AI$6&lt;=$E39),1,IF(AND($F39&gt;0,AI$6=$F39),"◆",""))</f>
        <v/>
      </c>
      <c r="AJ39" s="78" t="str">
        <f>IF(AND($D39&gt;0,AJ$6&gt;=$D39,AJ$6&lt;=$E39),1,IF(AND($F39&gt;0,AJ$6=$F39),"◆",""))</f>
        <v/>
      </c>
      <c r="AK39" s="78" t="str">
        <f>IF(AND($D39&gt;0,AK$6&gt;=$D39,AK$6&lt;=$E39),1,IF(AND($F39&gt;0,AK$6=$F39),"◆",""))</f>
        <v/>
      </c>
      <c r="AL39" s="78" t="str">
        <f>IF(AND($D39&gt;0,AL$6&gt;=$D39,AL$6&lt;=$E39),1,IF(AND($F39&gt;0,AL$6=$F39),"◆",""))</f>
        <v/>
      </c>
      <c r="AM39" s="78" t="str">
        <f>IF(AND($D39&gt;0,AM$6&gt;=$D39,AM$6&lt;=$E39),1,IF(AND($F39&gt;0,AM$6=$F39),"◆",""))</f>
        <v/>
      </c>
      <c r="AN39" s="78" t="str">
        <f>IF(AND($D39&gt;0,AN$6&gt;=$D39,AN$6&lt;=$E39),1,IF(AND($F39&gt;0,AN$6=$F39),"◆",""))</f>
        <v/>
      </c>
      <c r="AO39" s="78" t="str">
        <f>IF(AND($D39&gt;0,AO$6&gt;=$D39,AO$6&lt;=$E39),1,IF(AND($F39&gt;0,AO$6=$F39),"◆",""))</f>
        <v/>
      </c>
      <c r="AP39" s="78" t="str">
        <f>IF(AND($D39&gt;0,AP$6&gt;=$D39,AP$6&lt;=$E39),1,IF(AND($F39&gt;0,AP$6=$F39),"◆",""))</f>
        <v/>
      </c>
      <c r="AQ39" s="78" t="str">
        <f>IF(AND($D39&gt;0,AQ$6&gt;=$D39,AQ$6&lt;=$E39),1,IF(AND($F39&gt;0,AQ$6=$F39),"◆",""))</f>
        <v/>
      </c>
      <c r="AR39" s="78" t="str">
        <f>IF(AND($D39&gt;0,AR$6&gt;=$D39,AR$6&lt;=$E39),1,IF(AND($F39&gt;0,AR$6=$F39),"◆",""))</f>
        <v>◆</v>
      </c>
      <c r="AS39" s="78" t="str">
        <f>IF(AND($D39&gt;0,AS$6&gt;=$D39,AS$6&lt;=$E39),1,IF(AND($F39&gt;0,AS$6=$F39),"◆",""))</f>
        <v/>
      </c>
      <c r="AT39" s="78" t="str">
        <f>IF(AND($D39&gt;0,AT$6&gt;=$D39,AT$6&lt;=$E39),1,IF(AND($F39&gt;0,AT$6=$F39),"◆",""))</f>
        <v/>
      </c>
      <c r="AU39" s="78" t="str">
        <f>IF(AND($D39&gt;0,AU$6&gt;=$D39,AU$6&lt;=$E39),1,IF(AND($F39&gt;0,AU$6=$F39),"◆",""))</f>
        <v/>
      </c>
      <c r="AV39" s="78" t="str">
        <f>IF(AND($D39&gt;0,AV$6&gt;=$D39,AV$6&lt;=$E39),1,IF(AND($F39&gt;0,AV$6=$F39),"◆",""))</f>
        <v/>
      </c>
      <c r="AW39" s="78" t="str">
        <f>IF(AND($D39&gt;0,AW$6&gt;=$D39,AW$6&lt;=$E39),1,IF(AND($F39&gt;0,AW$6=$F39),"◆",""))</f>
        <v/>
      </c>
      <c r="AX39" s="78" t="str">
        <f>IF(AND($D39&gt;0,AX$6&gt;=$D39,AX$6&lt;=$E39),1,IF(AND($F39&gt;0,AX$6=$F39),"◆",""))</f>
        <v/>
      </c>
      <c r="AY39" s="78" t="str">
        <f>IF(AND($D39&gt;0,AY$6&gt;=$D39,AY$6&lt;=$E39),1,IF(AND($F39&gt;0,AY$6=$F39),"◆",""))</f>
        <v/>
      </c>
      <c r="AZ39" s="78" t="str">
        <f>IF(AND($D39&gt;0,AZ$6&gt;=$D39,AZ$6&lt;=$E39),1,IF(AND($F39&gt;0,AZ$6=$F39),"◆",""))</f>
        <v/>
      </c>
      <c r="BA39" s="78" t="str">
        <f>IF(AND($D39&gt;0,BA$6&gt;=$D39,BA$6&lt;=$E39),1,IF(AND($F39&gt;0,BA$6=$F39),"◆",""))</f>
        <v/>
      </c>
      <c r="BB39" s="78" t="str">
        <f>IF(AND($D39&gt;0,BB$6&gt;=$D39,BB$6&lt;=$E39),1,IF(AND($F39&gt;0,BB$6=$F39),"◆",""))</f>
        <v/>
      </c>
      <c r="BC39" s="78" t="str">
        <f>IF(AND($D39&gt;0,BC$6&gt;=$D39,BC$6&lt;=$E39),1,IF(AND($F39&gt;0,BC$6=$F39),"◆",""))</f>
        <v/>
      </c>
      <c r="BD39" s="78" t="str">
        <f>IF(AND($D39&gt;0,BD$6&gt;=$D39,BD$6&lt;=$E39),1,IF(AND($F39&gt;0,BD$6=$F39),"◆",""))</f>
        <v/>
      </c>
      <c r="BE39" s="78" t="str">
        <f>IF(AND($D39&gt;0,BE$6&gt;=$D39,BE$6&lt;=$E39),1,IF(AND($F39&gt;0,BE$6=$F39),"◆",""))</f>
        <v/>
      </c>
      <c r="BF39" s="78" t="str">
        <f>IF(AND($D39&gt;0,BF$6&gt;=$D39,BF$6&lt;=$E39),1,IF(AND($F39&gt;0,BF$6=$F39),"◆",""))</f>
        <v/>
      </c>
      <c r="BG39" s="78" t="str">
        <f>IF(AND($D39&gt;0,BG$6&gt;=$D39,BG$6&lt;=$E39),1,IF(AND($F39&gt;0,BG$6=$F39),"◆",""))</f>
        <v/>
      </c>
      <c r="BH39" s="78" t="str">
        <f>IF(AND($D39&gt;0,BH$6&gt;=$D39,BH$6&lt;=$E39),1,IF(AND($F39&gt;0,BH$6=$F39),"◆",""))</f>
        <v/>
      </c>
      <c r="BI39" s="78" t="str">
        <f>IF(AND($D39&gt;0,BI$6&gt;=$D39,BI$6&lt;=$E39),1,IF(AND($F39&gt;0,BI$6=$F39),"◆",""))</f>
        <v/>
      </c>
      <c r="BJ39" s="78" t="str">
        <f>IF(AND($D39&gt;0,BJ$6&gt;=$D39,BJ$6&lt;=$E39),1,IF(AND($F39&gt;0,BJ$6=$F39),"◆",""))</f>
        <v/>
      </c>
      <c r="BK39" s="78" t="str">
        <f>IF(AND($D39&gt;0,BK$6&gt;=$D39,BK$6&lt;=$E39),1,IF(AND($F39&gt;0,BK$6=$F39),"◆",""))</f>
        <v/>
      </c>
      <c r="BL39" s="78" t="str">
        <f>IF(AND($D39&gt;0,BL$6&gt;=$D39,BL$6&lt;=$E39),1,IF(AND($F39&gt;0,BL$6=$F39),"◆",""))</f>
        <v/>
      </c>
      <c r="BM39" s="78" t="str">
        <f>IF(AND($D39&gt;0,BM$6&gt;=$D39,BM$6&lt;=$E39),1,IF(AND($F39&gt;0,BM$6=$F39),"◆",""))</f>
        <v/>
      </c>
      <c r="BN39" s="78" t="str">
        <f>IF(AND($D39&gt;0,BN$6&gt;=$D39,BN$6&lt;=$E39),1,IF(AND($F39&gt;0,BN$6=$F39),"◆",""))</f>
        <v/>
      </c>
      <c r="BO39" s="78" t="str">
        <f>IF(AND($D39&gt;0,BO$6&gt;=$D39,BO$6&lt;=$E39),1,IF(AND($F39&gt;0,BO$6=$F39),"◆",""))</f>
        <v/>
      </c>
      <c r="BP39" s="78" t="str">
        <f>IF(AND($D39&gt;0,BP$6&gt;=$D39,BP$6&lt;=$E39),1,IF(AND($F39&gt;0,BP$6=$F39),"◆",""))</f>
        <v/>
      </c>
    </row>
    <row r="40">
      <c r="A40" s="75" t="str">
        <f>IF(INDEX(of_ref,34)="","",INDEX(of_num,34)&amp;"")</f>
        <v>OF-2612-034</v>
      </c>
      <c r="B40" s="75" t="str">
        <f>IF(INDEX(of_ref,34)="","",INDEX(of_des,34)&amp;"")</f>
        <v>Support moteur acier</v>
      </c>
      <c r="C40" s="76" t="str">
        <f>IF(INDEX(of_ref,34)="","",INDEX(of_poste,34)&amp;"")</f>
        <v>PLIE</v>
      </c>
      <c r="D40" s="77">
        <f>INDEX(of_start,34)</f>
        <v>46360.0</v>
      </c>
      <c r="E40" s="77">
        <f>INDEX(of_end,34)</f>
        <v>46363.0</v>
      </c>
      <c r="F40" s="77">
        <f>IF(N(INDEX(of_need,34))=0,0,INDEX(of_need,34))</f>
        <v>46384.0</v>
      </c>
      <c r="G40" s="76" t="str">
        <f>IF(INDEX(of_ref,34)="","",INDEX(of_etat,34)&amp;"")</f>
        <v>À l'heure</v>
      </c>
      <c r="I40" s="78" t="str">
        <f>IF(AND($D40&gt;0,I$6&gt;=$D40,I$6&lt;=$E40),1,IF(AND($F40&gt;0,I$6=$F40),"◆",""))</f>
        <v/>
      </c>
      <c r="J40" s="78" t="str">
        <f>IF(AND($D40&gt;0,J$6&gt;=$D40,J$6&lt;=$E40),1,IF(AND($F40&gt;0,J$6=$F40),"◆",""))</f>
        <v/>
      </c>
      <c r="K40" s="78" t="str">
        <f>IF(AND($D40&gt;0,K$6&gt;=$D40,K$6&lt;=$E40),1,IF(AND($F40&gt;0,K$6=$F40),"◆",""))</f>
        <v/>
      </c>
      <c r="L40" s="78" t="str">
        <f>IF(AND($D40&gt;0,L$6&gt;=$D40,L$6&lt;=$E40),1,IF(AND($F40&gt;0,L$6=$F40),"◆",""))</f>
        <v/>
      </c>
      <c r="M40" s="78" t="str">
        <f>IF(AND($D40&gt;0,M$6&gt;=$D40,M$6&lt;=$E40),1,IF(AND($F40&gt;0,M$6=$F40),"◆",""))</f>
        <v/>
      </c>
      <c r="N40" s="78" t="str">
        <f>IF(AND($D40&gt;0,N$6&gt;=$D40,N$6&lt;=$E40),1,IF(AND($F40&gt;0,N$6=$F40),"◆",""))</f>
        <v/>
      </c>
      <c r="O40" s="78" t="str">
        <f>IF(AND($D40&gt;0,O$6&gt;=$D40,O$6&lt;=$E40),1,IF(AND($F40&gt;0,O$6=$F40),"◆",""))</f>
        <v/>
      </c>
      <c r="P40" s="78" t="str">
        <f>IF(AND($D40&gt;0,P$6&gt;=$D40,P$6&lt;=$E40),1,IF(AND($F40&gt;0,P$6=$F40),"◆",""))</f>
        <v/>
      </c>
      <c r="Q40" s="78" t="str">
        <f>IF(AND($D40&gt;0,Q$6&gt;=$D40,Q$6&lt;=$E40),1,IF(AND($F40&gt;0,Q$6=$F40),"◆",""))</f>
        <v/>
      </c>
      <c r="R40" s="78" t="str">
        <f>IF(AND($D40&gt;0,R$6&gt;=$D40,R$6&lt;=$E40),1,IF(AND($F40&gt;0,R$6=$F40),"◆",""))</f>
        <v/>
      </c>
      <c r="S40" s="78" t="str">
        <f>IF(AND($D40&gt;0,S$6&gt;=$D40,S$6&lt;=$E40),1,IF(AND($F40&gt;0,S$6=$F40),"◆",""))</f>
        <v/>
      </c>
      <c r="T40" s="78" t="str">
        <f>IF(AND($D40&gt;0,T$6&gt;=$D40,T$6&lt;=$E40),1,IF(AND($F40&gt;0,T$6=$F40),"◆",""))</f>
        <v/>
      </c>
      <c r="U40" s="78" t="str">
        <f>IF(AND($D40&gt;0,U$6&gt;=$D40,U$6&lt;=$E40),1,IF(AND($F40&gt;0,U$6=$F40),"◆",""))</f>
        <v/>
      </c>
      <c r="V40" s="78" t="str">
        <f>IF(AND($D40&gt;0,V$6&gt;=$D40,V$6&lt;=$E40),1,IF(AND($F40&gt;0,V$6=$F40),"◆",""))</f>
        <v/>
      </c>
      <c r="W40" s="78" t="str">
        <f>IF(AND($D40&gt;0,W$6&gt;=$D40,W$6&lt;=$E40),1,IF(AND($F40&gt;0,W$6=$F40),"◆",""))</f>
        <v/>
      </c>
      <c r="X40" s="78" t="str">
        <f>IF(AND($D40&gt;0,X$6&gt;=$D40,X$6&lt;=$E40),1,IF(AND($F40&gt;0,X$6=$F40),"◆",""))</f>
        <v/>
      </c>
      <c r="Y40" s="78" t="str">
        <f>IF(AND($D40&gt;0,Y$6&gt;=$D40,Y$6&lt;=$E40),1,IF(AND($F40&gt;0,Y$6=$F40),"◆",""))</f>
        <v/>
      </c>
      <c r="Z40" s="78" t="str">
        <f>IF(AND($D40&gt;0,Z$6&gt;=$D40,Z$6&lt;=$E40),1,IF(AND($F40&gt;0,Z$6=$F40),"◆",""))</f>
        <v/>
      </c>
      <c r="AA40" s="78" t="str">
        <f>IF(AND($D40&gt;0,AA$6&gt;=$D40,AA$6&lt;=$E40),1,IF(AND($F40&gt;0,AA$6=$F40),"◆",""))</f>
        <v/>
      </c>
      <c r="AB40" s="78" t="str">
        <f>IF(AND($D40&gt;0,AB$6&gt;=$D40,AB$6&lt;=$E40),1,IF(AND($F40&gt;0,AB$6=$F40),"◆",""))</f>
        <v/>
      </c>
      <c r="AC40" s="78" t="str">
        <f>IF(AND($D40&gt;0,AC$6&gt;=$D40,AC$6&lt;=$E40),1,IF(AND($F40&gt;0,AC$6=$F40),"◆",""))</f>
        <v/>
      </c>
      <c r="AD40" s="78" t="str">
        <f>IF(AND($D40&gt;0,AD$6&gt;=$D40,AD$6&lt;=$E40),1,IF(AND($F40&gt;0,AD$6=$F40),"◆",""))</f>
        <v/>
      </c>
      <c r="AE40" s="78">
        <f>IF(AND($D40&gt;0,AE$6&gt;=$D40,AE$6&lt;=$E40),1,IF(AND($F40&gt;0,AE$6=$F40),"◆",""))</f>
        <v>1.0</v>
      </c>
      <c r="AF40" s="78">
        <f>IF(AND($D40&gt;0,AF$6&gt;=$D40,AF$6&lt;=$E40),1,IF(AND($F40&gt;0,AF$6=$F40),"◆",""))</f>
        <v>1.0</v>
      </c>
      <c r="AG40" s="78" t="str">
        <f>IF(AND($D40&gt;0,AG$6&gt;=$D40,AG$6&lt;=$E40),1,IF(AND($F40&gt;0,AG$6=$F40),"◆",""))</f>
        <v/>
      </c>
      <c r="AH40" s="78" t="str">
        <f>IF(AND($D40&gt;0,AH$6&gt;=$D40,AH$6&lt;=$E40),1,IF(AND($F40&gt;0,AH$6=$F40),"◆",""))</f>
        <v/>
      </c>
      <c r="AI40" s="78" t="str">
        <f>IF(AND($D40&gt;0,AI$6&gt;=$D40,AI$6&lt;=$E40),1,IF(AND($F40&gt;0,AI$6=$F40),"◆",""))</f>
        <v/>
      </c>
      <c r="AJ40" s="78" t="str">
        <f>IF(AND($D40&gt;0,AJ$6&gt;=$D40,AJ$6&lt;=$E40),1,IF(AND($F40&gt;0,AJ$6=$F40),"◆",""))</f>
        <v/>
      </c>
      <c r="AK40" s="78" t="str">
        <f>IF(AND($D40&gt;0,AK$6&gt;=$D40,AK$6&lt;=$E40),1,IF(AND($F40&gt;0,AK$6=$F40),"◆",""))</f>
        <v/>
      </c>
      <c r="AL40" s="78" t="str">
        <f>IF(AND($D40&gt;0,AL$6&gt;=$D40,AL$6&lt;=$E40),1,IF(AND($F40&gt;0,AL$6=$F40),"◆",""))</f>
        <v/>
      </c>
      <c r="AM40" s="78" t="str">
        <f>IF(AND($D40&gt;0,AM$6&gt;=$D40,AM$6&lt;=$E40),1,IF(AND($F40&gt;0,AM$6=$F40),"◆",""))</f>
        <v/>
      </c>
      <c r="AN40" s="78" t="str">
        <f>IF(AND($D40&gt;0,AN$6&gt;=$D40,AN$6&lt;=$E40),1,IF(AND($F40&gt;0,AN$6=$F40),"◆",""))</f>
        <v/>
      </c>
      <c r="AO40" s="78" t="str">
        <f>IF(AND($D40&gt;0,AO$6&gt;=$D40,AO$6&lt;=$E40),1,IF(AND($F40&gt;0,AO$6=$F40),"◆",""))</f>
        <v/>
      </c>
      <c r="AP40" s="78" t="str">
        <f>IF(AND($D40&gt;0,AP$6&gt;=$D40,AP$6&lt;=$E40),1,IF(AND($F40&gt;0,AP$6=$F40),"◆",""))</f>
        <v/>
      </c>
      <c r="AQ40" s="78" t="str">
        <f>IF(AND($D40&gt;0,AQ$6&gt;=$D40,AQ$6&lt;=$E40),1,IF(AND($F40&gt;0,AQ$6=$F40),"◆",""))</f>
        <v/>
      </c>
      <c r="AR40" s="78" t="str">
        <f>IF(AND($D40&gt;0,AR$6&gt;=$D40,AR$6&lt;=$E40),1,IF(AND($F40&gt;0,AR$6=$F40),"◆",""))</f>
        <v/>
      </c>
      <c r="AS40" s="78" t="str">
        <f>IF(AND($D40&gt;0,AS$6&gt;=$D40,AS$6&lt;=$E40),1,IF(AND($F40&gt;0,AS$6=$F40),"◆",""))</f>
        <v/>
      </c>
      <c r="AT40" s="78" t="str">
        <f>IF(AND($D40&gt;0,AT$6&gt;=$D40,AT$6&lt;=$E40),1,IF(AND($F40&gt;0,AT$6=$F40),"◆",""))</f>
        <v/>
      </c>
      <c r="AU40" s="78" t="str">
        <f>IF(AND($D40&gt;0,AU$6&gt;=$D40,AU$6&lt;=$E40),1,IF(AND($F40&gt;0,AU$6=$F40),"◆",""))</f>
        <v>◆</v>
      </c>
      <c r="AV40" s="78" t="str">
        <f>IF(AND($D40&gt;0,AV$6&gt;=$D40,AV$6&lt;=$E40),1,IF(AND($F40&gt;0,AV$6=$F40),"◆",""))</f>
        <v/>
      </c>
      <c r="AW40" s="78" t="str">
        <f>IF(AND($D40&gt;0,AW$6&gt;=$D40,AW$6&lt;=$E40),1,IF(AND($F40&gt;0,AW$6=$F40),"◆",""))</f>
        <v/>
      </c>
      <c r="AX40" s="78" t="str">
        <f>IF(AND($D40&gt;0,AX$6&gt;=$D40,AX$6&lt;=$E40),1,IF(AND($F40&gt;0,AX$6=$F40),"◆",""))</f>
        <v/>
      </c>
      <c r="AY40" s="78" t="str">
        <f>IF(AND($D40&gt;0,AY$6&gt;=$D40,AY$6&lt;=$E40),1,IF(AND($F40&gt;0,AY$6=$F40),"◆",""))</f>
        <v/>
      </c>
      <c r="AZ40" s="78" t="str">
        <f>IF(AND($D40&gt;0,AZ$6&gt;=$D40,AZ$6&lt;=$E40),1,IF(AND($F40&gt;0,AZ$6=$F40),"◆",""))</f>
        <v/>
      </c>
      <c r="BA40" s="78" t="str">
        <f>IF(AND($D40&gt;0,BA$6&gt;=$D40,BA$6&lt;=$E40),1,IF(AND($F40&gt;0,BA$6=$F40),"◆",""))</f>
        <v/>
      </c>
      <c r="BB40" s="78" t="str">
        <f>IF(AND($D40&gt;0,BB$6&gt;=$D40,BB$6&lt;=$E40),1,IF(AND($F40&gt;0,BB$6=$F40),"◆",""))</f>
        <v/>
      </c>
      <c r="BC40" s="78" t="str">
        <f>IF(AND($D40&gt;0,BC$6&gt;=$D40,BC$6&lt;=$E40),1,IF(AND($F40&gt;0,BC$6=$F40),"◆",""))</f>
        <v/>
      </c>
      <c r="BD40" s="78" t="str">
        <f>IF(AND($D40&gt;0,BD$6&gt;=$D40,BD$6&lt;=$E40),1,IF(AND($F40&gt;0,BD$6=$F40),"◆",""))</f>
        <v/>
      </c>
      <c r="BE40" s="78" t="str">
        <f>IF(AND($D40&gt;0,BE$6&gt;=$D40,BE$6&lt;=$E40),1,IF(AND($F40&gt;0,BE$6=$F40),"◆",""))</f>
        <v/>
      </c>
      <c r="BF40" s="78" t="str">
        <f>IF(AND($D40&gt;0,BF$6&gt;=$D40,BF$6&lt;=$E40),1,IF(AND($F40&gt;0,BF$6=$F40),"◆",""))</f>
        <v/>
      </c>
      <c r="BG40" s="78" t="str">
        <f>IF(AND($D40&gt;0,BG$6&gt;=$D40,BG$6&lt;=$E40),1,IF(AND($F40&gt;0,BG$6=$F40),"◆",""))</f>
        <v/>
      </c>
      <c r="BH40" s="78" t="str">
        <f>IF(AND($D40&gt;0,BH$6&gt;=$D40,BH$6&lt;=$E40),1,IF(AND($F40&gt;0,BH$6=$F40),"◆",""))</f>
        <v/>
      </c>
      <c r="BI40" s="78" t="str">
        <f>IF(AND($D40&gt;0,BI$6&gt;=$D40,BI$6&lt;=$E40),1,IF(AND($F40&gt;0,BI$6=$F40),"◆",""))</f>
        <v/>
      </c>
      <c r="BJ40" s="78" t="str">
        <f>IF(AND($D40&gt;0,BJ$6&gt;=$D40,BJ$6&lt;=$E40),1,IF(AND($F40&gt;0,BJ$6=$F40),"◆",""))</f>
        <v/>
      </c>
      <c r="BK40" s="78" t="str">
        <f>IF(AND($D40&gt;0,BK$6&gt;=$D40,BK$6&lt;=$E40),1,IF(AND($F40&gt;0,BK$6=$F40),"◆",""))</f>
        <v/>
      </c>
      <c r="BL40" s="78" t="str">
        <f>IF(AND($D40&gt;0,BL$6&gt;=$D40,BL$6&lt;=$E40),1,IF(AND($F40&gt;0,BL$6=$F40),"◆",""))</f>
        <v/>
      </c>
      <c r="BM40" s="78" t="str">
        <f>IF(AND($D40&gt;0,BM$6&gt;=$D40,BM$6&lt;=$E40),1,IF(AND($F40&gt;0,BM$6=$F40),"◆",""))</f>
        <v/>
      </c>
      <c r="BN40" s="78" t="str">
        <f>IF(AND($D40&gt;0,BN$6&gt;=$D40,BN$6&lt;=$E40),1,IF(AND($F40&gt;0,BN$6=$F40),"◆",""))</f>
        <v/>
      </c>
      <c r="BO40" s="78" t="str">
        <f>IF(AND($D40&gt;0,BO$6&gt;=$D40,BO$6&lt;=$E40),1,IF(AND($F40&gt;0,BO$6=$F40),"◆",""))</f>
        <v/>
      </c>
      <c r="BP40" s="78" t="str">
        <f>IF(AND($D40&gt;0,BP$6&gt;=$D40,BP$6&lt;=$E40),1,IF(AND($F40&gt;0,BP$6=$F40),"◆",""))</f>
        <v/>
      </c>
    </row>
    <row r="41">
      <c r="A41" s="75" t="str">
        <f>IF(INDEX(of_ref,35)="","",INDEX(of_num,35)&amp;"")</f>
        <v>OF-2612-035</v>
      </c>
      <c r="B41" s="75" t="str">
        <f>IF(INDEX(of_ref,35)="","",INDEX(of_des,35)&amp;"")</f>
        <v>Pignon T15</v>
      </c>
      <c r="C41" s="76" t="str">
        <f>IF(INDEX(of_ref,35)="","",INDEX(of_poste,35)&amp;"")</f>
        <v>FRAIS</v>
      </c>
      <c r="D41" s="77">
        <f>INDEX(of_start,35)</f>
        <v>46365.0</v>
      </c>
      <c r="E41" s="77">
        <f>INDEX(of_end,35)</f>
        <v>46371.0</v>
      </c>
      <c r="F41" s="77">
        <f>IF(N(INDEX(of_need,35))=0,0,INDEX(of_need,35))</f>
        <v>46385.0</v>
      </c>
      <c r="G41" s="76" t="str">
        <f>IF(INDEX(of_ref,35)="","",INDEX(of_etat,35)&amp;"")</f>
        <v>À l'heure</v>
      </c>
      <c r="I41" s="78" t="str">
        <f>IF(AND($D41&gt;0,I$6&gt;=$D41,I$6&lt;=$E41),1,IF(AND($F41&gt;0,I$6=$F41),"◆",""))</f>
        <v/>
      </c>
      <c r="J41" s="78" t="str">
        <f>IF(AND($D41&gt;0,J$6&gt;=$D41,J$6&lt;=$E41),1,IF(AND($F41&gt;0,J$6=$F41),"◆",""))</f>
        <v/>
      </c>
      <c r="K41" s="78" t="str">
        <f>IF(AND($D41&gt;0,K$6&gt;=$D41,K$6&lt;=$E41),1,IF(AND($F41&gt;0,K$6=$F41),"◆",""))</f>
        <v/>
      </c>
      <c r="L41" s="78" t="str">
        <f>IF(AND($D41&gt;0,L$6&gt;=$D41,L$6&lt;=$E41),1,IF(AND($F41&gt;0,L$6=$F41),"◆",""))</f>
        <v/>
      </c>
      <c r="M41" s="78" t="str">
        <f>IF(AND($D41&gt;0,M$6&gt;=$D41,M$6&lt;=$E41),1,IF(AND($F41&gt;0,M$6=$F41),"◆",""))</f>
        <v/>
      </c>
      <c r="N41" s="78" t="str">
        <f>IF(AND($D41&gt;0,N$6&gt;=$D41,N$6&lt;=$E41),1,IF(AND($F41&gt;0,N$6=$F41),"◆",""))</f>
        <v/>
      </c>
      <c r="O41" s="78" t="str">
        <f>IF(AND($D41&gt;0,O$6&gt;=$D41,O$6&lt;=$E41),1,IF(AND($F41&gt;0,O$6=$F41),"◆",""))</f>
        <v/>
      </c>
      <c r="P41" s="78" t="str">
        <f>IF(AND($D41&gt;0,P$6&gt;=$D41,P$6&lt;=$E41),1,IF(AND($F41&gt;0,P$6=$F41),"◆",""))</f>
        <v/>
      </c>
      <c r="Q41" s="78" t="str">
        <f>IF(AND($D41&gt;0,Q$6&gt;=$D41,Q$6&lt;=$E41),1,IF(AND($F41&gt;0,Q$6=$F41),"◆",""))</f>
        <v/>
      </c>
      <c r="R41" s="78" t="str">
        <f>IF(AND($D41&gt;0,R$6&gt;=$D41,R$6&lt;=$E41),1,IF(AND($F41&gt;0,R$6=$F41),"◆",""))</f>
        <v/>
      </c>
      <c r="S41" s="78" t="str">
        <f>IF(AND($D41&gt;0,S$6&gt;=$D41,S$6&lt;=$E41),1,IF(AND($F41&gt;0,S$6=$F41),"◆",""))</f>
        <v/>
      </c>
      <c r="T41" s="78" t="str">
        <f>IF(AND($D41&gt;0,T$6&gt;=$D41,T$6&lt;=$E41),1,IF(AND($F41&gt;0,T$6=$F41),"◆",""))</f>
        <v/>
      </c>
      <c r="U41" s="78" t="str">
        <f>IF(AND($D41&gt;0,U$6&gt;=$D41,U$6&lt;=$E41),1,IF(AND($F41&gt;0,U$6=$F41),"◆",""))</f>
        <v/>
      </c>
      <c r="V41" s="78" t="str">
        <f>IF(AND($D41&gt;0,V$6&gt;=$D41,V$6&lt;=$E41),1,IF(AND($F41&gt;0,V$6=$F41),"◆",""))</f>
        <v/>
      </c>
      <c r="W41" s="78" t="str">
        <f>IF(AND($D41&gt;0,W$6&gt;=$D41,W$6&lt;=$E41),1,IF(AND($F41&gt;0,W$6=$F41),"◆",""))</f>
        <v/>
      </c>
      <c r="X41" s="78" t="str">
        <f>IF(AND($D41&gt;0,X$6&gt;=$D41,X$6&lt;=$E41),1,IF(AND($F41&gt;0,X$6=$F41),"◆",""))</f>
        <v/>
      </c>
      <c r="Y41" s="78" t="str">
        <f>IF(AND($D41&gt;0,Y$6&gt;=$D41,Y$6&lt;=$E41),1,IF(AND($F41&gt;0,Y$6=$F41),"◆",""))</f>
        <v/>
      </c>
      <c r="Z41" s="78" t="str">
        <f>IF(AND($D41&gt;0,Z$6&gt;=$D41,Z$6&lt;=$E41),1,IF(AND($F41&gt;0,Z$6=$F41),"◆",""))</f>
        <v/>
      </c>
      <c r="AA41" s="78" t="str">
        <f>IF(AND($D41&gt;0,AA$6&gt;=$D41,AA$6&lt;=$E41),1,IF(AND($F41&gt;0,AA$6=$F41),"◆",""))</f>
        <v/>
      </c>
      <c r="AB41" s="78" t="str">
        <f>IF(AND($D41&gt;0,AB$6&gt;=$D41,AB$6&lt;=$E41),1,IF(AND($F41&gt;0,AB$6=$F41),"◆",""))</f>
        <v/>
      </c>
      <c r="AC41" s="78" t="str">
        <f>IF(AND($D41&gt;0,AC$6&gt;=$D41,AC$6&lt;=$E41),1,IF(AND($F41&gt;0,AC$6=$F41),"◆",""))</f>
        <v/>
      </c>
      <c r="AD41" s="78" t="str">
        <f>IF(AND($D41&gt;0,AD$6&gt;=$D41,AD$6&lt;=$E41),1,IF(AND($F41&gt;0,AD$6=$F41),"◆",""))</f>
        <v/>
      </c>
      <c r="AE41" s="78" t="str">
        <f>IF(AND($D41&gt;0,AE$6&gt;=$D41,AE$6&lt;=$E41),1,IF(AND($F41&gt;0,AE$6=$F41),"◆",""))</f>
        <v/>
      </c>
      <c r="AF41" s="78" t="str">
        <f>IF(AND($D41&gt;0,AF$6&gt;=$D41,AF$6&lt;=$E41),1,IF(AND($F41&gt;0,AF$6=$F41),"◆",""))</f>
        <v/>
      </c>
      <c r="AG41" s="78" t="str">
        <f>IF(AND($D41&gt;0,AG$6&gt;=$D41,AG$6&lt;=$E41),1,IF(AND($F41&gt;0,AG$6=$F41),"◆",""))</f>
        <v/>
      </c>
      <c r="AH41" s="78">
        <f>IF(AND($D41&gt;0,AH$6&gt;=$D41,AH$6&lt;=$E41),1,IF(AND($F41&gt;0,AH$6=$F41),"◆",""))</f>
        <v>1.0</v>
      </c>
      <c r="AI41" s="78">
        <f>IF(AND($D41&gt;0,AI$6&gt;=$D41,AI$6&lt;=$E41),1,IF(AND($F41&gt;0,AI$6=$F41),"◆",""))</f>
        <v>1.0</v>
      </c>
      <c r="AJ41" s="78">
        <f>IF(AND($D41&gt;0,AJ$6&gt;=$D41,AJ$6&lt;=$E41),1,IF(AND($F41&gt;0,AJ$6=$F41),"◆",""))</f>
        <v>1.0</v>
      </c>
      <c r="AK41" s="78">
        <f>IF(AND($D41&gt;0,AK$6&gt;=$D41,AK$6&lt;=$E41),1,IF(AND($F41&gt;0,AK$6=$F41),"◆",""))</f>
        <v>1.0</v>
      </c>
      <c r="AL41" s="78">
        <f>IF(AND($D41&gt;0,AL$6&gt;=$D41,AL$6&lt;=$E41),1,IF(AND($F41&gt;0,AL$6=$F41),"◆",""))</f>
        <v>1.0</v>
      </c>
      <c r="AM41" s="78" t="str">
        <f>IF(AND($D41&gt;0,AM$6&gt;=$D41,AM$6&lt;=$E41),1,IF(AND($F41&gt;0,AM$6=$F41),"◆",""))</f>
        <v/>
      </c>
      <c r="AN41" s="78" t="str">
        <f>IF(AND($D41&gt;0,AN$6&gt;=$D41,AN$6&lt;=$E41),1,IF(AND($F41&gt;0,AN$6=$F41),"◆",""))</f>
        <v/>
      </c>
      <c r="AO41" s="78" t="str">
        <f>IF(AND($D41&gt;0,AO$6&gt;=$D41,AO$6&lt;=$E41),1,IF(AND($F41&gt;0,AO$6=$F41),"◆",""))</f>
        <v/>
      </c>
      <c r="AP41" s="78" t="str">
        <f>IF(AND($D41&gt;0,AP$6&gt;=$D41,AP$6&lt;=$E41),1,IF(AND($F41&gt;0,AP$6=$F41),"◆",""))</f>
        <v/>
      </c>
      <c r="AQ41" s="78" t="str">
        <f>IF(AND($D41&gt;0,AQ$6&gt;=$D41,AQ$6&lt;=$E41),1,IF(AND($F41&gt;0,AQ$6=$F41),"◆",""))</f>
        <v/>
      </c>
      <c r="AR41" s="78" t="str">
        <f>IF(AND($D41&gt;0,AR$6&gt;=$D41,AR$6&lt;=$E41),1,IF(AND($F41&gt;0,AR$6=$F41),"◆",""))</f>
        <v/>
      </c>
      <c r="AS41" s="78" t="str">
        <f>IF(AND($D41&gt;0,AS$6&gt;=$D41,AS$6&lt;=$E41),1,IF(AND($F41&gt;0,AS$6=$F41),"◆",""))</f>
        <v/>
      </c>
      <c r="AT41" s="78" t="str">
        <f>IF(AND($D41&gt;0,AT$6&gt;=$D41,AT$6&lt;=$E41),1,IF(AND($F41&gt;0,AT$6=$F41),"◆",""))</f>
        <v/>
      </c>
      <c r="AU41" s="78" t="str">
        <f>IF(AND($D41&gt;0,AU$6&gt;=$D41,AU$6&lt;=$E41),1,IF(AND($F41&gt;0,AU$6=$F41),"◆",""))</f>
        <v/>
      </c>
      <c r="AV41" s="78" t="str">
        <f>IF(AND($D41&gt;0,AV$6&gt;=$D41,AV$6&lt;=$E41),1,IF(AND($F41&gt;0,AV$6=$F41),"◆",""))</f>
        <v>◆</v>
      </c>
      <c r="AW41" s="78" t="str">
        <f>IF(AND($D41&gt;0,AW$6&gt;=$D41,AW$6&lt;=$E41),1,IF(AND($F41&gt;0,AW$6=$F41),"◆",""))</f>
        <v/>
      </c>
      <c r="AX41" s="78" t="str">
        <f>IF(AND($D41&gt;0,AX$6&gt;=$D41,AX$6&lt;=$E41),1,IF(AND($F41&gt;0,AX$6=$F41),"◆",""))</f>
        <v/>
      </c>
      <c r="AY41" s="78" t="str">
        <f>IF(AND($D41&gt;0,AY$6&gt;=$D41,AY$6&lt;=$E41),1,IF(AND($F41&gt;0,AY$6=$F41),"◆",""))</f>
        <v/>
      </c>
      <c r="AZ41" s="78" t="str">
        <f>IF(AND($D41&gt;0,AZ$6&gt;=$D41,AZ$6&lt;=$E41),1,IF(AND($F41&gt;0,AZ$6=$F41),"◆",""))</f>
        <v/>
      </c>
      <c r="BA41" s="78" t="str">
        <f>IF(AND($D41&gt;0,BA$6&gt;=$D41,BA$6&lt;=$E41),1,IF(AND($F41&gt;0,BA$6=$F41),"◆",""))</f>
        <v/>
      </c>
      <c r="BB41" s="78" t="str">
        <f>IF(AND($D41&gt;0,BB$6&gt;=$D41,BB$6&lt;=$E41),1,IF(AND($F41&gt;0,BB$6=$F41),"◆",""))</f>
        <v/>
      </c>
      <c r="BC41" s="78" t="str">
        <f>IF(AND($D41&gt;0,BC$6&gt;=$D41,BC$6&lt;=$E41),1,IF(AND($F41&gt;0,BC$6=$F41),"◆",""))</f>
        <v/>
      </c>
      <c r="BD41" s="78" t="str">
        <f>IF(AND($D41&gt;0,BD$6&gt;=$D41,BD$6&lt;=$E41),1,IF(AND($F41&gt;0,BD$6=$F41),"◆",""))</f>
        <v/>
      </c>
      <c r="BE41" s="78" t="str">
        <f>IF(AND($D41&gt;0,BE$6&gt;=$D41,BE$6&lt;=$E41),1,IF(AND($F41&gt;0,BE$6=$F41),"◆",""))</f>
        <v/>
      </c>
      <c r="BF41" s="78" t="str">
        <f>IF(AND($D41&gt;0,BF$6&gt;=$D41,BF$6&lt;=$E41),1,IF(AND($F41&gt;0,BF$6=$F41),"◆",""))</f>
        <v/>
      </c>
      <c r="BG41" s="78" t="str">
        <f>IF(AND($D41&gt;0,BG$6&gt;=$D41,BG$6&lt;=$E41),1,IF(AND($F41&gt;0,BG$6=$F41),"◆",""))</f>
        <v/>
      </c>
      <c r="BH41" s="78" t="str">
        <f>IF(AND($D41&gt;0,BH$6&gt;=$D41,BH$6&lt;=$E41),1,IF(AND($F41&gt;0,BH$6=$F41),"◆",""))</f>
        <v/>
      </c>
      <c r="BI41" s="78" t="str">
        <f>IF(AND($D41&gt;0,BI$6&gt;=$D41,BI$6&lt;=$E41),1,IF(AND($F41&gt;0,BI$6=$F41),"◆",""))</f>
        <v/>
      </c>
      <c r="BJ41" s="78" t="str">
        <f>IF(AND($D41&gt;0,BJ$6&gt;=$D41,BJ$6&lt;=$E41),1,IF(AND($F41&gt;0,BJ$6=$F41),"◆",""))</f>
        <v/>
      </c>
      <c r="BK41" s="78" t="str">
        <f>IF(AND($D41&gt;0,BK$6&gt;=$D41,BK$6&lt;=$E41),1,IF(AND($F41&gt;0,BK$6=$F41),"◆",""))</f>
        <v/>
      </c>
      <c r="BL41" s="78" t="str">
        <f>IF(AND($D41&gt;0,BL$6&gt;=$D41,BL$6&lt;=$E41),1,IF(AND($F41&gt;0,BL$6=$F41),"◆",""))</f>
        <v/>
      </c>
      <c r="BM41" s="78" t="str">
        <f>IF(AND($D41&gt;0,BM$6&gt;=$D41,BM$6&lt;=$E41),1,IF(AND($F41&gt;0,BM$6=$F41),"◆",""))</f>
        <v/>
      </c>
      <c r="BN41" s="78" t="str">
        <f>IF(AND($D41&gt;0,BN$6&gt;=$D41,BN$6&lt;=$E41),1,IF(AND($F41&gt;0,BN$6=$F41),"◆",""))</f>
        <v/>
      </c>
      <c r="BO41" s="78" t="str">
        <f>IF(AND($D41&gt;0,BO$6&gt;=$D41,BO$6&lt;=$E41),1,IF(AND($F41&gt;0,BO$6=$F41),"◆",""))</f>
        <v/>
      </c>
      <c r="BP41" s="78" t="str">
        <f>IF(AND($D41&gt;0,BP$6&gt;=$D41,BP$6&lt;=$E41),1,IF(AND($F41&gt;0,BP$6=$F41),"◆",""))</f>
        <v/>
      </c>
    </row>
    <row r="42">
      <c r="A42" s="75" t="str">
        <f>IF(INDEX(of_ref,36)="","",INDEX(of_num,36)&amp;"")</f>
        <v>OF-2612-036</v>
      </c>
      <c r="B42" s="75" t="str">
        <f>IF(INDEX(of_ref,36)="","",INDEX(of_des,36)&amp;"")</f>
        <v>Kit attelage monté</v>
      </c>
      <c r="C42" s="76" t="str">
        <f>IF(INDEX(of_ref,36)="","",INDEX(of_poste,36)&amp;"")</f>
        <v>MONT</v>
      </c>
      <c r="D42" s="77">
        <f>INDEX(of_start,36)</f>
        <v>46346.0</v>
      </c>
      <c r="E42" s="77">
        <f>INDEX(of_end,36)</f>
        <v>46351.0</v>
      </c>
      <c r="F42" s="77">
        <f>IF(N(INDEX(of_need,36))=0,0,INDEX(of_need,36))</f>
        <v>46386.0</v>
      </c>
      <c r="G42" s="76" t="str">
        <f>IF(INDEX(of_ref,36)="","",INDEX(of_etat,36)&amp;"")</f>
        <v>À l'heure</v>
      </c>
      <c r="I42" s="78" t="str">
        <f>IF(AND($D42&gt;0,I$6&gt;=$D42,I$6&lt;=$E42),1,IF(AND($F42&gt;0,I$6=$F42),"◆",""))</f>
        <v/>
      </c>
      <c r="J42" s="78" t="str">
        <f>IF(AND($D42&gt;0,J$6&gt;=$D42,J$6&lt;=$E42),1,IF(AND($F42&gt;0,J$6=$F42),"◆",""))</f>
        <v/>
      </c>
      <c r="K42" s="78" t="str">
        <f>IF(AND($D42&gt;0,K$6&gt;=$D42,K$6&lt;=$E42),1,IF(AND($F42&gt;0,K$6=$F42),"◆",""))</f>
        <v/>
      </c>
      <c r="L42" s="78" t="str">
        <f>IF(AND($D42&gt;0,L$6&gt;=$D42,L$6&lt;=$E42),1,IF(AND($F42&gt;0,L$6=$F42),"◆",""))</f>
        <v/>
      </c>
      <c r="M42" s="78" t="str">
        <f>IF(AND($D42&gt;0,M$6&gt;=$D42,M$6&lt;=$E42),1,IF(AND($F42&gt;0,M$6=$F42),"◆",""))</f>
        <v/>
      </c>
      <c r="N42" s="78" t="str">
        <f>IF(AND($D42&gt;0,N$6&gt;=$D42,N$6&lt;=$E42),1,IF(AND($F42&gt;0,N$6=$F42),"◆",""))</f>
        <v/>
      </c>
      <c r="O42" s="78" t="str">
        <f>IF(AND($D42&gt;0,O$6&gt;=$D42,O$6&lt;=$E42),1,IF(AND($F42&gt;0,O$6=$F42),"◆",""))</f>
        <v/>
      </c>
      <c r="P42" s="78" t="str">
        <f>IF(AND($D42&gt;0,P$6&gt;=$D42,P$6&lt;=$E42),1,IF(AND($F42&gt;0,P$6=$F42),"◆",""))</f>
        <v/>
      </c>
      <c r="Q42" s="78" t="str">
        <f>IF(AND($D42&gt;0,Q$6&gt;=$D42,Q$6&lt;=$E42),1,IF(AND($F42&gt;0,Q$6=$F42),"◆",""))</f>
        <v/>
      </c>
      <c r="R42" s="78" t="str">
        <f>IF(AND($D42&gt;0,R$6&gt;=$D42,R$6&lt;=$E42),1,IF(AND($F42&gt;0,R$6=$F42),"◆",""))</f>
        <v/>
      </c>
      <c r="S42" s="78" t="str">
        <f>IF(AND($D42&gt;0,S$6&gt;=$D42,S$6&lt;=$E42),1,IF(AND($F42&gt;0,S$6=$F42),"◆",""))</f>
        <v/>
      </c>
      <c r="T42" s="78" t="str">
        <f>IF(AND($D42&gt;0,T$6&gt;=$D42,T$6&lt;=$E42),1,IF(AND($F42&gt;0,T$6=$F42),"◆",""))</f>
        <v/>
      </c>
      <c r="U42" s="78">
        <f>IF(AND($D42&gt;0,U$6&gt;=$D42,U$6&lt;=$E42),1,IF(AND($F42&gt;0,U$6=$F42),"◆",""))</f>
        <v>1.0</v>
      </c>
      <c r="V42" s="78">
        <f>IF(AND($D42&gt;0,V$6&gt;=$D42,V$6&lt;=$E42),1,IF(AND($F42&gt;0,V$6=$F42),"◆",""))</f>
        <v>1.0</v>
      </c>
      <c r="W42" s="78">
        <f>IF(AND($D42&gt;0,W$6&gt;=$D42,W$6&lt;=$E42),1,IF(AND($F42&gt;0,W$6=$F42),"◆",""))</f>
        <v>1.0</v>
      </c>
      <c r="X42" s="78">
        <f>IF(AND($D42&gt;0,X$6&gt;=$D42,X$6&lt;=$E42),1,IF(AND($F42&gt;0,X$6=$F42),"◆",""))</f>
        <v>1.0</v>
      </c>
      <c r="Y42" s="78" t="str">
        <f>IF(AND($D42&gt;0,Y$6&gt;=$D42,Y$6&lt;=$E42),1,IF(AND($F42&gt;0,Y$6=$F42),"◆",""))</f>
        <v/>
      </c>
      <c r="Z42" s="78" t="str">
        <f>IF(AND($D42&gt;0,Z$6&gt;=$D42,Z$6&lt;=$E42),1,IF(AND($F42&gt;0,Z$6=$F42),"◆",""))</f>
        <v/>
      </c>
      <c r="AA42" s="78" t="str">
        <f>IF(AND($D42&gt;0,AA$6&gt;=$D42,AA$6&lt;=$E42),1,IF(AND($F42&gt;0,AA$6=$F42),"◆",""))</f>
        <v/>
      </c>
      <c r="AB42" s="78" t="str">
        <f>IF(AND($D42&gt;0,AB$6&gt;=$D42,AB$6&lt;=$E42),1,IF(AND($F42&gt;0,AB$6=$F42),"◆",""))</f>
        <v/>
      </c>
      <c r="AC42" s="78" t="str">
        <f>IF(AND($D42&gt;0,AC$6&gt;=$D42,AC$6&lt;=$E42),1,IF(AND($F42&gt;0,AC$6=$F42),"◆",""))</f>
        <v/>
      </c>
      <c r="AD42" s="78" t="str">
        <f>IF(AND($D42&gt;0,AD$6&gt;=$D42,AD$6&lt;=$E42),1,IF(AND($F42&gt;0,AD$6=$F42),"◆",""))</f>
        <v/>
      </c>
      <c r="AE42" s="78" t="str">
        <f>IF(AND($D42&gt;0,AE$6&gt;=$D42,AE$6&lt;=$E42),1,IF(AND($F42&gt;0,AE$6=$F42),"◆",""))</f>
        <v/>
      </c>
      <c r="AF42" s="78" t="str">
        <f>IF(AND($D42&gt;0,AF$6&gt;=$D42,AF$6&lt;=$E42),1,IF(AND($F42&gt;0,AF$6=$F42),"◆",""))</f>
        <v/>
      </c>
      <c r="AG42" s="78" t="str">
        <f>IF(AND($D42&gt;0,AG$6&gt;=$D42,AG$6&lt;=$E42),1,IF(AND($F42&gt;0,AG$6=$F42),"◆",""))</f>
        <v/>
      </c>
      <c r="AH42" s="78" t="str">
        <f>IF(AND($D42&gt;0,AH$6&gt;=$D42,AH$6&lt;=$E42),1,IF(AND($F42&gt;0,AH$6=$F42),"◆",""))</f>
        <v/>
      </c>
      <c r="AI42" s="78" t="str">
        <f>IF(AND($D42&gt;0,AI$6&gt;=$D42,AI$6&lt;=$E42),1,IF(AND($F42&gt;0,AI$6=$F42),"◆",""))</f>
        <v/>
      </c>
      <c r="AJ42" s="78" t="str">
        <f>IF(AND($D42&gt;0,AJ$6&gt;=$D42,AJ$6&lt;=$E42),1,IF(AND($F42&gt;0,AJ$6=$F42),"◆",""))</f>
        <v/>
      </c>
      <c r="AK42" s="78" t="str">
        <f>IF(AND($D42&gt;0,AK$6&gt;=$D42,AK$6&lt;=$E42),1,IF(AND($F42&gt;0,AK$6=$F42),"◆",""))</f>
        <v/>
      </c>
      <c r="AL42" s="78" t="str">
        <f>IF(AND($D42&gt;0,AL$6&gt;=$D42,AL$6&lt;=$E42),1,IF(AND($F42&gt;0,AL$6=$F42),"◆",""))</f>
        <v/>
      </c>
      <c r="AM42" s="78" t="str">
        <f>IF(AND($D42&gt;0,AM$6&gt;=$D42,AM$6&lt;=$E42),1,IF(AND($F42&gt;0,AM$6=$F42),"◆",""))</f>
        <v/>
      </c>
      <c r="AN42" s="78" t="str">
        <f>IF(AND($D42&gt;0,AN$6&gt;=$D42,AN$6&lt;=$E42),1,IF(AND($F42&gt;0,AN$6=$F42),"◆",""))</f>
        <v/>
      </c>
      <c r="AO42" s="78" t="str">
        <f>IF(AND($D42&gt;0,AO$6&gt;=$D42,AO$6&lt;=$E42),1,IF(AND($F42&gt;0,AO$6=$F42),"◆",""))</f>
        <v/>
      </c>
      <c r="AP42" s="78" t="str">
        <f>IF(AND($D42&gt;0,AP$6&gt;=$D42,AP$6&lt;=$E42),1,IF(AND($F42&gt;0,AP$6=$F42),"◆",""))</f>
        <v/>
      </c>
      <c r="AQ42" s="78" t="str">
        <f>IF(AND($D42&gt;0,AQ$6&gt;=$D42,AQ$6&lt;=$E42),1,IF(AND($F42&gt;0,AQ$6=$F42),"◆",""))</f>
        <v/>
      </c>
      <c r="AR42" s="78" t="str">
        <f>IF(AND($D42&gt;0,AR$6&gt;=$D42,AR$6&lt;=$E42),1,IF(AND($F42&gt;0,AR$6=$F42),"◆",""))</f>
        <v/>
      </c>
      <c r="AS42" s="78" t="str">
        <f>IF(AND($D42&gt;0,AS$6&gt;=$D42,AS$6&lt;=$E42),1,IF(AND($F42&gt;0,AS$6=$F42),"◆",""))</f>
        <v/>
      </c>
      <c r="AT42" s="78" t="str">
        <f>IF(AND($D42&gt;0,AT$6&gt;=$D42,AT$6&lt;=$E42),1,IF(AND($F42&gt;0,AT$6=$F42),"◆",""))</f>
        <v/>
      </c>
      <c r="AU42" s="78" t="str">
        <f>IF(AND($D42&gt;0,AU$6&gt;=$D42,AU$6&lt;=$E42),1,IF(AND($F42&gt;0,AU$6=$F42),"◆",""))</f>
        <v/>
      </c>
      <c r="AV42" s="78" t="str">
        <f>IF(AND($D42&gt;0,AV$6&gt;=$D42,AV$6&lt;=$E42),1,IF(AND($F42&gt;0,AV$6=$F42),"◆",""))</f>
        <v/>
      </c>
      <c r="AW42" s="78" t="str">
        <f>IF(AND($D42&gt;0,AW$6&gt;=$D42,AW$6&lt;=$E42),1,IF(AND($F42&gt;0,AW$6=$F42),"◆",""))</f>
        <v>◆</v>
      </c>
      <c r="AX42" s="78" t="str">
        <f>IF(AND($D42&gt;0,AX$6&gt;=$D42,AX$6&lt;=$E42),1,IF(AND($F42&gt;0,AX$6=$F42),"◆",""))</f>
        <v/>
      </c>
      <c r="AY42" s="78" t="str">
        <f>IF(AND($D42&gt;0,AY$6&gt;=$D42,AY$6&lt;=$E42),1,IF(AND($F42&gt;0,AY$6=$F42),"◆",""))</f>
        <v/>
      </c>
      <c r="AZ42" s="78" t="str">
        <f>IF(AND($D42&gt;0,AZ$6&gt;=$D42,AZ$6&lt;=$E42),1,IF(AND($F42&gt;0,AZ$6=$F42),"◆",""))</f>
        <v/>
      </c>
      <c r="BA42" s="78" t="str">
        <f>IF(AND($D42&gt;0,BA$6&gt;=$D42,BA$6&lt;=$E42),1,IF(AND($F42&gt;0,BA$6=$F42),"◆",""))</f>
        <v/>
      </c>
      <c r="BB42" s="78" t="str">
        <f>IF(AND($D42&gt;0,BB$6&gt;=$D42,BB$6&lt;=$E42),1,IF(AND($F42&gt;0,BB$6=$F42),"◆",""))</f>
        <v/>
      </c>
      <c r="BC42" s="78" t="str">
        <f>IF(AND($D42&gt;0,BC$6&gt;=$D42,BC$6&lt;=$E42),1,IF(AND($F42&gt;0,BC$6=$F42),"◆",""))</f>
        <v/>
      </c>
      <c r="BD42" s="78" t="str">
        <f>IF(AND($D42&gt;0,BD$6&gt;=$D42,BD$6&lt;=$E42),1,IF(AND($F42&gt;0,BD$6=$F42),"◆",""))</f>
        <v/>
      </c>
      <c r="BE42" s="78" t="str">
        <f>IF(AND($D42&gt;0,BE$6&gt;=$D42,BE$6&lt;=$E42),1,IF(AND($F42&gt;0,BE$6=$F42),"◆",""))</f>
        <v/>
      </c>
      <c r="BF42" s="78" t="str">
        <f>IF(AND($D42&gt;0,BF$6&gt;=$D42,BF$6&lt;=$E42),1,IF(AND($F42&gt;0,BF$6=$F42),"◆",""))</f>
        <v/>
      </c>
      <c r="BG42" s="78" t="str">
        <f>IF(AND($D42&gt;0,BG$6&gt;=$D42,BG$6&lt;=$E42),1,IF(AND($F42&gt;0,BG$6=$F42),"◆",""))</f>
        <v/>
      </c>
      <c r="BH42" s="78" t="str">
        <f>IF(AND($D42&gt;0,BH$6&gt;=$D42,BH$6&lt;=$E42),1,IF(AND($F42&gt;0,BH$6=$F42),"◆",""))</f>
        <v/>
      </c>
      <c r="BI42" s="78" t="str">
        <f>IF(AND($D42&gt;0,BI$6&gt;=$D42,BI$6&lt;=$E42),1,IF(AND($F42&gt;0,BI$6=$F42),"◆",""))</f>
        <v/>
      </c>
      <c r="BJ42" s="78" t="str">
        <f>IF(AND($D42&gt;0,BJ$6&gt;=$D42,BJ$6&lt;=$E42),1,IF(AND($F42&gt;0,BJ$6=$F42),"◆",""))</f>
        <v/>
      </c>
      <c r="BK42" s="78" t="str">
        <f>IF(AND($D42&gt;0,BK$6&gt;=$D42,BK$6&lt;=$E42),1,IF(AND($F42&gt;0,BK$6=$F42),"◆",""))</f>
        <v/>
      </c>
      <c r="BL42" s="78" t="str">
        <f>IF(AND($D42&gt;0,BL$6&gt;=$D42,BL$6&lt;=$E42),1,IF(AND($F42&gt;0,BL$6=$F42),"◆",""))</f>
        <v/>
      </c>
      <c r="BM42" s="78" t="str">
        <f>IF(AND($D42&gt;0,BM$6&gt;=$D42,BM$6&lt;=$E42),1,IF(AND($F42&gt;0,BM$6=$F42),"◆",""))</f>
        <v/>
      </c>
      <c r="BN42" s="78" t="str">
        <f>IF(AND($D42&gt;0,BN$6&gt;=$D42,BN$6&lt;=$E42),1,IF(AND($F42&gt;0,BN$6=$F42),"◆",""))</f>
        <v/>
      </c>
      <c r="BO42" s="78" t="str">
        <f>IF(AND($D42&gt;0,BO$6&gt;=$D42,BO$6&lt;=$E42),1,IF(AND($F42&gt;0,BO$6=$F42),"◆",""))</f>
        <v/>
      </c>
      <c r="BP42" s="78" t="str">
        <f>IF(AND($D42&gt;0,BP$6&gt;=$D42,BP$6&lt;=$E42),1,IF(AND($F42&gt;0,BP$6=$F42),"◆",""))</f>
        <v/>
      </c>
    </row>
    <row r="43">
      <c r="A43" s="75" t="str">
        <f>IF(INDEX(of_ref,37)="","",INDEX(of_num,37)&amp;"")</f>
        <v/>
      </c>
      <c r="B43" s="75" t="str">
        <f>IF(INDEX(of_ref,37)="","",INDEX(of_des,37)&amp;"")</f>
        <v/>
      </c>
      <c r="C43" s="76" t="str">
        <f>IF(INDEX(of_ref,37)="","",INDEX(of_poste,37)&amp;"")</f>
        <v/>
      </c>
      <c r="D43" s="77">
        <f>INDEX(of_start,37)</f>
        <v>0.0</v>
      </c>
      <c r="E43" s="77">
        <f>INDEX(of_end,37)</f>
        <v>0.0</v>
      </c>
      <c r="F43" s="77">
        <f>IF(N(INDEX(of_need,37))=0,0,INDEX(of_need,37))</f>
        <v>0.0</v>
      </c>
      <c r="G43" s="76" t="str">
        <f>IF(INDEX(of_ref,37)="","",INDEX(of_etat,37)&amp;"")</f>
        <v/>
      </c>
      <c r="I43" s="78" t="str">
        <f>IF(AND($D43&gt;0,I$6&gt;=$D43,I$6&lt;=$E43),1,IF(AND($F43&gt;0,I$6=$F43),"◆",""))</f>
        <v/>
      </c>
      <c r="J43" s="78" t="str">
        <f>IF(AND($D43&gt;0,J$6&gt;=$D43,J$6&lt;=$E43),1,IF(AND($F43&gt;0,J$6=$F43),"◆",""))</f>
        <v/>
      </c>
      <c r="K43" s="78" t="str">
        <f>IF(AND($D43&gt;0,K$6&gt;=$D43,K$6&lt;=$E43),1,IF(AND($F43&gt;0,K$6=$F43),"◆",""))</f>
        <v/>
      </c>
      <c r="L43" s="78" t="str">
        <f>IF(AND($D43&gt;0,L$6&gt;=$D43,L$6&lt;=$E43),1,IF(AND($F43&gt;0,L$6=$F43),"◆",""))</f>
        <v/>
      </c>
      <c r="M43" s="78" t="str">
        <f>IF(AND($D43&gt;0,M$6&gt;=$D43,M$6&lt;=$E43),1,IF(AND($F43&gt;0,M$6=$F43),"◆",""))</f>
        <v/>
      </c>
      <c r="N43" s="78" t="str">
        <f>IF(AND($D43&gt;0,N$6&gt;=$D43,N$6&lt;=$E43),1,IF(AND($F43&gt;0,N$6=$F43),"◆",""))</f>
        <v/>
      </c>
      <c r="O43" s="78" t="str">
        <f>IF(AND($D43&gt;0,O$6&gt;=$D43,O$6&lt;=$E43),1,IF(AND($F43&gt;0,O$6=$F43),"◆",""))</f>
        <v/>
      </c>
      <c r="P43" s="78" t="str">
        <f>IF(AND($D43&gt;0,P$6&gt;=$D43,P$6&lt;=$E43),1,IF(AND($F43&gt;0,P$6=$F43),"◆",""))</f>
        <v/>
      </c>
      <c r="Q43" s="78" t="str">
        <f>IF(AND($D43&gt;0,Q$6&gt;=$D43,Q$6&lt;=$E43),1,IF(AND($F43&gt;0,Q$6=$F43),"◆",""))</f>
        <v/>
      </c>
      <c r="R43" s="78" t="str">
        <f>IF(AND($D43&gt;0,R$6&gt;=$D43,R$6&lt;=$E43),1,IF(AND($F43&gt;0,R$6=$F43),"◆",""))</f>
        <v/>
      </c>
      <c r="S43" s="78" t="str">
        <f>IF(AND($D43&gt;0,S$6&gt;=$D43,S$6&lt;=$E43),1,IF(AND($F43&gt;0,S$6=$F43),"◆",""))</f>
        <v/>
      </c>
      <c r="T43" s="78" t="str">
        <f>IF(AND($D43&gt;0,T$6&gt;=$D43,T$6&lt;=$E43),1,IF(AND($F43&gt;0,T$6=$F43),"◆",""))</f>
        <v/>
      </c>
      <c r="U43" s="78" t="str">
        <f>IF(AND($D43&gt;0,U$6&gt;=$D43,U$6&lt;=$E43),1,IF(AND($F43&gt;0,U$6=$F43),"◆",""))</f>
        <v/>
      </c>
      <c r="V43" s="78" t="str">
        <f>IF(AND($D43&gt;0,V$6&gt;=$D43,V$6&lt;=$E43),1,IF(AND($F43&gt;0,V$6=$F43),"◆",""))</f>
        <v/>
      </c>
      <c r="W43" s="78" t="str">
        <f>IF(AND($D43&gt;0,W$6&gt;=$D43,W$6&lt;=$E43),1,IF(AND($F43&gt;0,W$6=$F43),"◆",""))</f>
        <v/>
      </c>
      <c r="X43" s="78" t="str">
        <f>IF(AND($D43&gt;0,X$6&gt;=$D43,X$6&lt;=$E43),1,IF(AND($F43&gt;0,X$6=$F43),"◆",""))</f>
        <v/>
      </c>
      <c r="Y43" s="78" t="str">
        <f>IF(AND($D43&gt;0,Y$6&gt;=$D43,Y$6&lt;=$E43),1,IF(AND($F43&gt;0,Y$6=$F43),"◆",""))</f>
        <v/>
      </c>
      <c r="Z43" s="78" t="str">
        <f>IF(AND($D43&gt;0,Z$6&gt;=$D43,Z$6&lt;=$E43),1,IF(AND($F43&gt;0,Z$6=$F43),"◆",""))</f>
        <v/>
      </c>
      <c r="AA43" s="78" t="str">
        <f>IF(AND($D43&gt;0,AA$6&gt;=$D43,AA$6&lt;=$E43),1,IF(AND($F43&gt;0,AA$6=$F43),"◆",""))</f>
        <v/>
      </c>
      <c r="AB43" s="78" t="str">
        <f>IF(AND($D43&gt;0,AB$6&gt;=$D43,AB$6&lt;=$E43),1,IF(AND($F43&gt;0,AB$6=$F43),"◆",""))</f>
        <v/>
      </c>
      <c r="AC43" s="78" t="str">
        <f>IF(AND($D43&gt;0,AC$6&gt;=$D43,AC$6&lt;=$E43),1,IF(AND($F43&gt;0,AC$6=$F43),"◆",""))</f>
        <v/>
      </c>
      <c r="AD43" s="78" t="str">
        <f>IF(AND($D43&gt;0,AD$6&gt;=$D43,AD$6&lt;=$E43),1,IF(AND($F43&gt;0,AD$6=$F43),"◆",""))</f>
        <v/>
      </c>
      <c r="AE43" s="78" t="str">
        <f>IF(AND($D43&gt;0,AE$6&gt;=$D43,AE$6&lt;=$E43),1,IF(AND($F43&gt;0,AE$6=$F43),"◆",""))</f>
        <v/>
      </c>
      <c r="AF43" s="78" t="str">
        <f>IF(AND($D43&gt;0,AF$6&gt;=$D43,AF$6&lt;=$E43),1,IF(AND($F43&gt;0,AF$6=$F43),"◆",""))</f>
        <v/>
      </c>
      <c r="AG43" s="78" t="str">
        <f>IF(AND($D43&gt;0,AG$6&gt;=$D43,AG$6&lt;=$E43),1,IF(AND($F43&gt;0,AG$6=$F43),"◆",""))</f>
        <v/>
      </c>
      <c r="AH43" s="78" t="str">
        <f>IF(AND($D43&gt;0,AH$6&gt;=$D43,AH$6&lt;=$E43),1,IF(AND($F43&gt;0,AH$6=$F43),"◆",""))</f>
        <v/>
      </c>
      <c r="AI43" s="78" t="str">
        <f>IF(AND($D43&gt;0,AI$6&gt;=$D43,AI$6&lt;=$E43),1,IF(AND($F43&gt;0,AI$6=$F43),"◆",""))</f>
        <v/>
      </c>
      <c r="AJ43" s="78" t="str">
        <f>IF(AND($D43&gt;0,AJ$6&gt;=$D43,AJ$6&lt;=$E43),1,IF(AND($F43&gt;0,AJ$6=$F43),"◆",""))</f>
        <v/>
      </c>
      <c r="AK43" s="78" t="str">
        <f>IF(AND($D43&gt;0,AK$6&gt;=$D43,AK$6&lt;=$E43),1,IF(AND($F43&gt;0,AK$6=$F43),"◆",""))</f>
        <v/>
      </c>
      <c r="AL43" s="78" t="str">
        <f>IF(AND($D43&gt;0,AL$6&gt;=$D43,AL$6&lt;=$E43),1,IF(AND($F43&gt;0,AL$6=$F43),"◆",""))</f>
        <v/>
      </c>
      <c r="AM43" s="78" t="str">
        <f>IF(AND($D43&gt;0,AM$6&gt;=$D43,AM$6&lt;=$E43),1,IF(AND($F43&gt;0,AM$6=$F43),"◆",""))</f>
        <v/>
      </c>
      <c r="AN43" s="78" t="str">
        <f>IF(AND($D43&gt;0,AN$6&gt;=$D43,AN$6&lt;=$E43),1,IF(AND($F43&gt;0,AN$6=$F43),"◆",""))</f>
        <v/>
      </c>
      <c r="AO43" s="78" t="str">
        <f>IF(AND($D43&gt;0,AO$6&gt;=$D43,AO$6&lt;=$E43),1,IF(AND($F43&gt;0,AO$6=$F43),"◆",""))</f>
        <v/>
      </c>
      <c r="AP43" s="78" t="str">
        <f>IF(AND($D43&gt;0,AP$6&gt;=$D43,AP$6&lt;=$E43),1,IF(AND($F43&gt;0,AP$6=$F43),"◆",""))</f>
        <v/>
      </c>
      <c r="AQ43" s="78" t="str">
        <f>IF(AND($D43&gt;0,AQ$6&gt;=$D43,AQ$6&lt;=$E43),1,IF(AND($F43&gt;0,AQ$6=$F43),"◆",""))</f>
        <v/>
      </c>
      <c r="AR43" s="78" t="str">
        <f>IF(AND($D43&gt;0,AR$6&gt;=$D43,AR$6&lt;=$E43),1,IF(AND($F43&gt;0,AR$6=$F43),"◆",""))</f>
        <v/>
      </c>
      <c r="AS43" s="78" t="str">
        <f>IF(AND($D43&gt;0,AS$6&gt;=$D43,AS$6&lt;=$E43),1,IF(AND($F43&gt;0,AS$6=$F43),"◆",""))</f>
        <v/>
      </c>
      <c r="AT43" s="78" t="str">
        <f>IF(AND($D43&gt;0,AT$6&gt;=$D43,AT$6&lt;=$E43),1,IF(AND($F43&gt;0,AT$6=$F43),"◆",""))</f>
        <v/>
      </c>
      <c r="AU43" s="78" t="str">
        <f>IF(AND($D43&gt;0,AU$6&gt;=$D43,AU$6&lt;=$E43),1,IF(AND($F43&gt;0,AU$6=$F43),"◆",""))</f>
        <v/>
      </c>
      <c r="AV43" s="78" t="str">
        <f>IF(AND($D43&gt;0,AV$6&gt;=$D43,AV$6&lt;=$E43),1,IF(AND($F43&gt;0,AV$6=$F43),"◆",""))</f>
        <v/>
      </c>
      <c r="AW43" s="78" t="str">
        <f>IF(AND($D43&gt;0,AW$6&gt;=$D43,AW$6&lt;=$E43),1,IF(AND($F43&gt;0,AW$6=$F43),"◆",""))</f>
        <v/>
      </c>
      <c r="AX43" s="78" t="str">
        <f>IF(AND($D43&gt;0,AX$6&gt;=$D43,AX$6&lt;=$E43),1,IF(AND($F43&gt;0,AX$6=$F43),"◆",""))</f>
        <v/>
      </c>
      <c r="AY43" s="78" t="str">
        <f>IF(AND($D43&gt;0,AY$6&gt;=$D43,AY$6&lt;=$E43),1,IF(AND($F43&gt;0,AY$6=$F43),"◆",""))</f>
        <v/>
      </c>
      <c r="AZ43" s="78" t="str">
        <f>IF(AND($D43&gt;0,AZ$6&gt;=$D43,AZ$6&lt;=$E43),1,IF(AND($F43&gt;0,AZ$6=$F43),"◆",""))</f>
        <v/>
      </c>
      <c r="BA43" s="78" t="str">
        <f>IF(AND($D43&gt;0,BA$6&gt;=$D43,BA$6&lt;=$E43),1,IF(AND($F43&gt;0,BA$6=$F43),"◆",""))</f>
        <v/>
      </c>
      <c r="BB43" s="78" t="str">
        <f>IF(AND($D43&gt;0,BB$6&gt;=$D43,BB$6&lt;=$E43),1,IF(AND($F43&gt;0,BB$6=$F43),"◆",""))</f>
        <v/>
      </c>
      <c r="BC43" s="78" t="str">
        <f>IF(AND($D43&gt;0,BC$6&gt;=$D43,BC$6&lt;=$E43),1,IF(AND($F43&gt;0,BC$6=$F43),"◆",""))</f>
        <v/>
      </c>
      <c r="BD43" s="78" t="str">
        <f>IF(AND($D43&gt;0,BD$6&gt;=$D43,BD$6&lt;=$E43),1,IF(AND($F43&gt;0,BD$6=$F43),"◆",""))</f>
        <v/>
      </c>
      <c r="BE43" s="78" t="str">
        <f>IF(AND($D43&gt;0,BE$6&gt;=$D43,BE$6&lt;=$E43),1,IF(AND($F43&gt;0,BE$6=$F43),"◆",""))</f>
        <v/>
      </c>
      <c r="BF43" s="78" t="str">
        <f>IF(AND($D43&gt;0,BF$6&gt;=$D43,BF$6&lt;=$E43),1,IF(AND($F43&gt;0,BF$6=$F43),"◆",""))</f>
        <v/>
      </c>
      <c r="BG43" s="78" t="str">
        <f>IF(AND($D43&gt;0,BG$6&gt;=$D43,BG$6&lt;=$E43),1,IF(AND($F43&gt;0,BG$6=$F43),"◆",""))</f>
        <v/>
      </c>
      <c r="BH43" s="78" t="str">
        <f>IF(AND($D43&gt;0,BH$6&gt;=$D43,BH$6&lt;=$E43),1,IF(AND($F43&gt;0,BH$6=$F43),"◆",""))</f>
        <v/>
      </c>
      <c r="BI43" s="78" t="str">
        <f>IF(AND($D43&gt;0,BI$6&gt;=$D43,BI$6&lt;=$E43),1,IF(AND($F43&gt;0,BI$6=$F43),"◆",""))</f>
        <v/>
      </c>
      <c r="BJ43" s="78" t="str">
        <f>IF(AND($D43&gt;0,BJ$6&gt;=$D43,BJ$6&lt;=$E43),1,IF(AND($F43&gt;0,BJ$6=$F43),"◆",""))</f>
        <v/>
      </c>
      <c r="BK43" s="78" t="str">
        <f>IF(AND($D43&gt;0,BK$6&gt;=$D43,BK$6&lt;=$E43),1,IF(AND($F43&gt;0,BK$6=$F43),"◆",""))</f>
        <v/>
      </c>
      <c r="BL43" s="78" t="str">
        <f>IF(AND($D43&gt;0,BL$6&gt;=$D43,BL$6&lt;=$E43),1,IF(AND($F43&gt;0,BL$6=$F43),"◆",""))</f>
        <v/>
      </c>
      <c r="BM43" s="78" t="str">
        <f>IF(AND($D43&gt;0,BM$6&gt;=$D43,BM$6&lt;=$E43),1,IF(AND($F43&gt;0,BM$6=$F43),"◆",""))</f>
        <v/>
      </c>
      <c r="BN43" s="78" t="str">
        <f>IF(AND($D43&gt;0,BN$6&gt;=$D43,BN$6&lt;=$E43),1,IF(AND($F43&gt;0,BN$6=$F43),"◆",""))</f>
        <v/>
      </c>
      <c r="BO43" s="78" t="str">
        <f>IF(AND($D43&gt;0,BO$6&gt;=$D43,BO$6&lt;=$E43),1,IF(AND($F43&gt;0,BO$6=$F43),"◆",""))</f>
        <v/>
      </c>
      <c r="BP43" s="78" t="str">
        <f>IF(AND($D43&gt;0,BP$6&gt;=$D43,BP$6&lt;=$E43),1,IF(AND($F43&gt;0,BP$6=$F43),"◆",""))</f>
        <v/>
      </c>
    </row>
    <row r="44">
      <c r="A44" s="75" t="str">
        <f>IF(INDEX(of_ref,38)="","",INDEX(of_num,38)&amp;"")</f>
        <v/>
      </c>
      <c r="B44" s="75" t="str">
        <f>IF(INDEX(of_ref,38)="","",INDEX(of_des,38)&amp;"")</f>
        <v/>
      </c>
      <c r="C44" s="76" t="str">
        <f>IF(INDEX(of_ref,38)="","",INDEX(of_poste,38)&amp;"")</f>
        <v/>
      </c>
      <c r="D44" s="77">
        <f>INDEX(of_start,38)</f>
        <v>0.0</v>
      </c>
      <c r="E44" s="77">
        <f>INDEX(of_end,38)</f>
        <v>0.0</v>
      </c>
      <c r="F44" s="77">
        <f>IF(N(INDEX(of_need,38))=0,0,INDEX(of_need,38))</f>
        <v>0.0</v>
      </c>
      <c r="G44" s="76" t="str">
        <f>IF(INDEX(of_ref,38)="","",INDEX(of_etat,38)&amp;"")</f>
        <v/>
      </c>
      <c r="I44" s="78" t="str">
        <f>IF(AND($D44&gt;0,I$6&gt;=$D44,I$6&lt;=$E44),1,IF(AND($F44&gt;0,I$6=$F44),"◆",""))</f>
        <v/>
      </c>
      <c r="J44" s="78" t="str">
        <f>IF(AND($D44&gt;0,J$6&gt;=$D44,J$6&lt;=$E44),1,IF(AND($F44&gt;0,J$6=$F44),"◆",""))</f>
        <v/>
      </c>
      <c r="K44" s="78" t="str">
        <f>IF(AND($D44&gt;0,K$6&gt;=$D44,K$6&lt;=$E44),1,IF(AND($F44&gt;0,K$6=$F44),"◆",""))</f>
        <v/>
      </c>
      <c r="L44" s="78" t="str">
        <f>IF(AND($D44&gt;0,L$6&gt;=$D44,L$6&lt;=$E44),1,IF(AND($F44&gt;0,L$6=$F44),"◆",""))</f>
        <v/>
      </c>
      <c r="M44" s="78" t="str">
        <f>IF(AND($D44&gt;0,M$6&gt;=$D44,M$6&lt;=$E44),1,IF(AND($F44&gt;0,M$6=$F44),"◆",""))</f>
        <v/>
      </c>
      <c r="N44" s="78" t="str">
        <f>IF(AND($D44&gt;0,N$6&gt;=$D44,N$6&lt;=$E44),1,IF(AND($F44&gt;0,N$6=$F44),"◆",""))</f>
        <v/>
      </c>
      <c r="O44" s="78" t="str">
        <f>IF(AND($D44&gt;0,O$6&gt;=$D44,O$6&lt;=$E44),1,IF(AND($F44&gt;0,O$6=$F44),"◆",""))</f>
        <v/>
      </c>
      <c r="P44" s="78" t="str">
        <f>IF(AND($D44&gt;0,P$6&gt;=$D44,P$6&lt;=$E44),1,IF(AND($F44&gt;0,P$6=$F44),"◆",""))</f>
        <v/>
      </c>
      <c r="Q44" s="78" t="str">
        <f>IF(AND($D44&gt;0,Q$6&gt;=$D44,Q$6&lt;=$E44),1,IF(AND($F44&gt;0,Q$6=$F44),"◆",""))</f>
        <v/>
      </c>
      <c r="R44" s="78" t="str">
        <f>IF(AND($D44&gt;0,R$6&gt;=$D44,R$6&lt;=$E44),1,IF(AND($F44&gt;0,R$6=$F44),"◆",""))</f>
        <v/>
      </c>
      <c r="S44" s="78" t="str">
        <f>IF(AND($D44&gt;0,S$6&gt;=$D44,S$6&lt;=$E44),1,IF(AND($F44&gt;0,S$6=$F44),"◆",""))</f>
        <v/>
      </c>
      <c r="T44" s="78" t="str">
        <f>IF(AND($D44&gt;0,T$6&gt;=$D44,T$6&lt;=$E44),1,IF(AND($F44&gt;0,T$6=$F44),"◆",""))</f>
        <v/>
      </c>
      <c r="U44" s="78" t="str">
        <f>IF(AND($D44&gt;0,U$6&gt;=$D44,U$6&lt;=$E44),1,IF(AND($F44&gt;0,U$6=$F44),"◆",""))</f>
        <v/>
      </c>
      <c r="V44" s="78" t="str">
        <f>IF(AND($D44&gt;0,V$6&gt;=$D44,V$6&lt;=$E44),1,IF(AND($F44&gt;0,V$6=$F44),"◆",""))</f>
        <v/>
      </c>
      <c r="W44" s="78" t="str">
        <f>IF(AND($D44&gt;0,W$6&gt;=$D44,W$6&lt;=$E44),1,IF(AND($F44&gt;0,W$6=$F44),"◆",""))</f>
        <v/>
      </c>
      <c r="X44" s="78" t="str">
        <f>IF(AND($D44&gt;0,X$6&gt;=$D44,X$6&lt;=$E44),1,IF(AND($F44&gt;0,X$6=$F44),"◆",""))</f>
        <v/>
      </c>
      <c r="Y44" s="78" t="str">
        <f>IF(AND($D44&gt;0,Y$6&gt;=$D44,Y$6&lt;=$E44),1,IF(AND($F44&gt;0,Y$6=$F44),"◆",""))</f>
        <v/>
      </c>
      <c r="Z44" s="78" t="str">
        <f>IF(AND($D44&gt;0,Z$6&gt;=$D44,Z$6&lt;=$E44),1,IF(AND($F44&gt;0,Z$6=$F44),"◆",""))</f>
        <v/>
      </c>
      <c r="AA44" s="78" t="str">
        <f>IF(AND($D44&gt;0,AA$6&gt;=$D44,AA$6&lt;=$E44),1,IF(AND($F44&gt;0,AA$6=$F44),"◆",""))</f>
        <v/>
      </c>
      <c r="AB44" s="78" t="str">
        <f>IF(AND($D44&gt;0,AB$6&gt;=$D44,AB$6&lt;=$E44),1,IF(AND($F44&gt;0,AB$6=$F44),"◆",""))</f>
        <v/>
      </c>
      <c r="AC44" s="78" t="str">
        <f>IF(AND($D44&gt;0,AC$6&gt;=$D44,AC$6&lt;=$E44),1,IF(AND($F44&gt;0,AC$6=$F44),"◆",""))</f>
        <v/>
      </c>
      <c r="AD44" s="78" t="str">
        <f>IF(AND($D44&gt;0,AD$6&gt;=$D44,AD$6&lt;=$E44),1,IF(AND($F44&gt;0,AD$6=$F44),"◆",""))</f>
        <v/>
      </c>
      <c r="AE44" s="78" t="str">
        <f>IF(AND($D44&gt;0,AE$6&gt;=$D44,AE$6&lt;=$E44),1,IF(AND($F44&gt;0,AE$6=$F44),"◆",""))</f>
        <v/>
      </c>
      <c r="AF44" s="78" t="str">
        <f>IF(AND($D44&gt;0,AF$6&gt;=$D44,AF$6&lt;=$E44),1,IF(AND($F44&gt;0,AF$6=$F44),"◆",""))</f>
        <v/>
      </c>
      <c r="AG44" s="78" t="str">
        <f>IF(AND($D44&gt;0,AG$6&gt;=$D44,AG$6&lt;=$E44),1,IF(AND($F44&gt;0,AG$6=$F44),"◆",""))</f>
        <v/>
      </c>
      <c r="AH44" s="78" t="str">
        <f>IF(AND($D44&gt;0,AH$6&gt;=$D44,AH$6&lt;=$E44),1,IF(AND($F44&gt;0,AH$6=$F44),"◆",""))</f>
        <v/>
      </c>
      <c r="AI44" s="78" t="str">
        <f>IF(AND($D44&gt;0,AI$6&gt;=$D44,AI$6&lt;=$E44),1,IF(AND($F44&gt;0,AI$6=$F44),"◆",""))</f>
        <v/>
      </c>
      <c r="AJ44" s="78" t="str">
        <f>IF(AND($D44&gt;0,AJ$6&gt;=$D44,AJ$6&lt;=$E44),1,IF(AND($F44&gt;0,AJ$6=$F44),"◆",""))</f>
        <v/>
      </c>
      <c r="AK44" s="78" t="str">
        <f>IF(AND($D44&gt;0,AK$6&gt;=$D44,AK$6&lt;=$E44),1,IF(AND($F44&gt;0,AK$6=$F44),"◆",""))</f>
        <v/>
      </c>
      <c r="AL44" s="78" t="str">
        <f>IF(AND($D44&gt;0,AL$6&gt;=$D44,AL$6&lt;=$E44),1,IF(AND($F44&gt;0,AL$6=$F44),"◆",""))</f>
        <v/>
      </c>
      <c r="AM44" s="78" t="str">
        <f>IF(AND($D44&gt;0,AM$6&gt;=$D44,AM$6&lt;=$E44),1,IF(AND($F44&gt;0,AM$6=$F44),"◆",""))</f>
        <v/>
      </c>
      <c r="AN44" s="78" t="str">
        <f>IF(AND($D44&gt;0,AN$6&gt;=$D44,AN$6&lt;=$E44),1,IF(AND($F44&gt;0,AN$6=$F44),"◆",""))</f>
        <v/>
      </c>
      <c r="AO44" s="78" t="str">
        <f>IF(AND($D44&gt;0,AO$6&gt;=$D44,AO$6&lt;=$E44),1,IF(AND($F44&gt;0,AO$6=$F44),"◆",""))</f>
        <v/>
      </c>
      <c r="AP44" s="78" t="str">
        <f>IF(AND($D44&gt;0,AP$6&gt;=$D44,AP$6&lt;=$E44),1,IF(AND($F44&gt;0,AP$6=$F44),"◆",""))</f>
        <v/>
      </c>
      <c r="AQ44" s="78" t="str">
        <f>IF(AND($D44&gt;0,AQ$6&gt;=$D44,AQ$6&lt;=$E44),1,IF(AND($F44&gt;0,AQ$6=$F44),"◆",""))</f>
        <v/>
      </c>
      <c r="AR44" s="78" t="str">
        <f>IF(AND($D44&gt;0,AR$6&gt;=$D44,AR$6&lt;=$E44),1,IF(AND($F44&gt;0,AR$6=$F44),"◆",""))</f>
        <v/>
      </c>
      <c r="AS44" s="78" t="str">
        <f>IF(AND($D44&gt;0,AS$6&gt;=$D44,AS$6&lt;=$E44),1,IF(AND($F44&gt;0,AS$6=$F44),"◆",""))</f>
        <v/>
      </c>
      <c r="AT44" s="78" t="str">
        <f>IF(AND($D44&gt;0,AT$6&gt;=$D44,AT$6&lt;=$E44),1,IF(AND($F44&gt;0,AT$6=$F44),"◆",""))</f>
        <v/>
      </c>
      <c r="AU44" s="78" t="str">
        <f>IF(AND($D44&gt;0,AU$6&gt;=$D44,AU$6&lt;=$E44),1,IF(AND($F44&gt;0,AU$6=$F44),"◆",""))</f>
        <v/>
      </c>
      <c r="AV44" s="78" t="str">
        <f>IF(AND($D44&gt;0,AV$6&gt;=$D44,AV$6&lt;=$E44),1,IF(AND($F44&gt;0,AV$6=$F44),"◆",""))</f>
        <v/>
      </c>
      <c r="AW44" s="78" t="str">
        <f>IF(AND($D44&gt;0,AW$6&gt;=$D44,AW$6&lt;=$E44),1,IF(AND($F44&gt;0,AW$6=$F44),"◆",""))</f>
        <v/>
      </c>
      <c r="AX44" s="78" t="str">
        <f>IF(AND($D44&gt;0,AX$6&gt;=$D44,AX$6&lt;=$E44),1,IF(AND($F44&gt;0,AX$6=$F44),"◆",""))</f>
        <v/>
      </c>
      <c r="AY44" s="78" t="str">
        <f>IF(AND($D44&gt;0,AY$6&gt;=$D44,AY$6&lt;=$E44),1,IF(AND($F44&gt;0,AY$6=$F44),"◆",""))</f>
        <v/>
      </c>
      <c r="AZ44" s="78" t="str">
        <f>IF(AND($D44&gt;0,AZ$6&gt;=$D44,AZ$6&lt;=$E44),1,IF(AND($F44&gt;0,AZ$6=$F44),"◆",""))</f>
        <v/>
      </c>
      <c r="BA44" s="78" t="str">
        <f>IF(AND($D44&gt;0,BA$6&gt;=$D44,BA$6&lt;=$E44),1,IF(AND($F44&gt;0,BA$6=$F44),"◆",""))</f>
        <v/>
      </c>
      <c r="BB44" s="78" t="str">
        <f>IF(AND($D44&gt;0,BB$6&gt;=$D44,BB$6&lt;=$E44),1,IF(AND($F44&gt;0,BB$6=$F44),"◆",""))</f>
        <v/>
      </c>
      <c r="BC44" s="78" t="str">
        <f>IF(AND($D44&gt;0,BC$6&gt;=$D44,BC$6&lt;=$E44),1,IF(AND($F44&gt;0,BC$6=$F44),"◆",""))</f>
        <v/>
      </c>
      <c r="BD44" s="78" t="str">
        <f>IF(AND($D44&gt;0,BD$6&gt;=$D44,BD$6&lt;=$E44),1,IF(AND($F44&gt;0,BD$6=$F44),"◆",""))</f>
        <v/>
      </c>
      <c r="BE44" s="78" t="str">
        <f>IF(AND($D44&gt;0,BE$6&gt;=$D44,BE$6&lt;=$E44),1,IF(AND($F44&gt;0,BE$6=$F44),"◆",""))</f>
        <v/>
      </c>
      <c r="BF44" s="78" t="str">
        <f>IF(AND($D44&gt;0,BF$6&gt;=$D44,BF$6&lt;=$E44),1,IF(AND($F44&gt;0,BF$6=$F44),"◆",""))</f>
        <v/>
      </c>
      <c r="BG44" s="78" t="str">
        <f>IF(AND($D44&gt;0,BG$6&gt;=$D44,BG$6&lt;=$E44),1,IF(AND($F44&gt;0,BG$6=$F44),"◆",""))</f>
        <v/>
      </c>
      <c r="BH44" s="78" t="str">
        <f>IF(AND($D44&gt;0,BH$6&gt;=$D44,BH$6&lt;=$E44),1,IF(AND($F44&gt;0,BH$6=$F44),"◆",""))</f>
        <v/>
      </c>
      <c r="BI44" s="78" t="str">
        <f>IF(AND($D44&gt;0,BI$6&gt;=$D44,BI$6&lt;=$E44),1,IF(AND($F44&gt;0,BI$6=$F44),"◆",""))</f>
        <v/>
      </c>
      <c r="BJ44" s="78" t="str">
        <f>IF(AND($D44&gt;0,BJ$6&gt;=$D44,BJ$6&lt;=$E44),1,IF(AND($F44&gt;0,BJ$6=$F44),"◆",""))</f>
        <v/>
      </c>
      <c r="BK44" s="78" t="str">
        <f>IF(AND($D44&gt;0,BK$6&gt;=$D44,BK$6&lt;=$E44),1,IF(AND($F44&gt;0,BK$6=$F44),"◆",""))</f>
        <v/>
      </c>
      <c r="BL44" s="78" t="str">
        <f>IF(AND($D44&gt;0,BL$6&gt;=$D44,BL$6&lt;=$E44),1,IF(AND($F44&gt;0,BL$6=$F44),"◆",""))</f>
        <v/>
      </c>
      <c r="BM44" s="78" t="str">
        <f>IF(AND($D44&gt;0,BM$6&gt;=$D44,BM$6&lt;=$E44),1,IF(AND($F44&gt;0,BM$6=$F44),"◆",""))</f>
        <v/>
      </c>
      <c r="BN44" s="78" t="str">
        <f>IF(AND($D44&gt;0,BN$6&gt;=$D44,BN$6&lt;=$E44),1,IF(AND($F44&gt;0,BN$6=$F44),"◆",""))</f>
        <v/>
      </c>
      <c r="BO44" s="78" t="str">
        <f>IF(AND($D44&gt;0,BO$6&gt;=$D44,BO$6&lt;=$E44),1,IF(AND($F44&gt;0,BO$6=$F44),"◆",""))</f>
        <v/>
      </c>
      <c r="BP44" s="78" t="str">
        <f>IF(AND($D44&gt;0,BP$6&gt;=$D44,BP$6&lt;=$E44),1,IF(AND($F44&gt;0,BP$6=$F44),"◆",""))</f>
        <v/>
      </c>
    </row>
    <row r="45">
      <c r="A45" s="75" t="str">
        <f>IF(INDEX(of_ref,39)="","",INDEX(of_num,39)&amp;"")</f>
        <v/>
      </c>
      <c r="B45" s="75" t="str">
        <f>IF(INDEX(of_ref,39)="","",INDEX(of_des,39)&amp;"")</f>
        <v/>
      </c>
      <c r="C45" s="76" t="str">
        <f>IF(INDEX(of_ref,39)="","",INDEX(of_poste,39)&amp;"")</f>
        <v/>
      </c>
      <c r="D45" s="77">
        <f>INDEX(of_start,39)</f>
        <v>0.0</v>
      </c>
      <c r="E45" s="77">
        <f>INDEX(of_end,39)</f>
        <v>0.0</v>
      </c>
      <c r="F45" s="77">
        <f>IF(N(INDEX(of_need,39))=0,0,INDEX(of_need,39))</f>
        <v>0.0</v>
      </c>
      <c r="G45" s="76" t="str">
        <f>IF(INDEX(of_ref,39)="","",INDEX(of_etat,39)&amp;"")</f>
        <v/>
      </c>
      <c r="I45" s="78" t="str">
        <f>IF(AND($D45&gt;0,I$6&gt;=$D45,I$6&lt;=$E45),1,IF(AND($F45&gt;0,I$6=$F45),"◆",""))</f>
        <v/>
      </c>
      <c r="J45" s="78" t="str">
        <f>IF(AND($D45&gt;0,J$6&gt;=$D45,J$6&lt;=$E45),1,IF(AND($F45&gt;0,J$6=$F45),"◆",""))</f>
        <v/>
      </c>
      <c r="K45" s="78" t="str">
        <f>IF(AND($D45&gt;0,K$6&gt;=$D45,K$6&lt;=$E45),1,IF(AND($F45&gt;0,K$6=$F45),"◆",""))</f>
        <v/>
      </c>
      <c r="L45" s="78" t="str">
        <f>IF(AND($D45&gt;0,L$6&gt;=$D45,L$6&lt;=$E45),1,IF(AND($F45&gt;0,L$6=$F45),"◆",""))</f>
        <v/>
      </c>
      <c r="M45" s="78" t="str">
        <f>IF(AND($D45&gt;0,M$6&gt;=$D45,M$6&lt;=$E45),1,IF(AND($F45&gt;0,M$6=$F45),"◆",""))</f>
        <v/>
      </c>
      <c r="N45" s="78" t="str">
        <f>IF(AND($D45&gt;0,N$6&gt;=$D45,N$6&lt;=$E45),1,IF(AND($F45&gt;0,N$6=$F45),"◆",""))</f>
        <v/>
      </c>
      <c r="O45" s="78" t="str">
        <f>IF(AND($D45&gt;0,O$6&gt;=$D45,O$6&lt;=$E45),1,IF(AND($F45&gt;0,O$6=$F45),"◆",""))</f>
        <v/>
      </c>
      <c r="P45" s="78" t="str">
        <f>IF(AND($D45&gt;0,P$6&gt;=$D45,P$6&lt;=$E45),1,IF(AND($F45&gt;0,P$6=$F45),"◆",""))</f>
        <v/>
      </c>
      <c r="Q45" s="78" t="str">
        <f>IF(AND($D45&gt;0,Q$6&gt;=$D45,Q$6&lt;=$E45),1,IF(AND($F45&gt;0,Q$6=$F45),"◆",""))</f>
        <v/>
      </c>
      <c r="R45" s="78" t="str">
        <f>IF(AND($D45&gt;0,R$6&gt;=$D45,R$6&lt;=$E45),1,IF(AND($F45&gt;0,R$6=$F45),"◆",""))</f>
        <v/>
      </c>
      <c r="S45" s="78" t="str">
        <f>IF(AND($D45&gt;0,S$6&gt;=$D45,S$6&lt;=$E45),1,IF(AND($F45&gt;0,S$6=$F45),"◆",""))</f>
        <v/>
      </c>
      <c r="T45" s="78" t="str">
        <f>IF(AND($D45&gt;0,T$6&gt;=$D45,T$6&lt;=$E45),1,IF(AND($F45&gt;0,T$6=$F45),"◆",""))</f>
        <v/>
      </c>
      <c r="U45" s="78" t="str">
        <f>IF(AND($D45&gt;0,U$6&gt;=$D45,U$6&lt;=$E45),1,IF(AND($F45&gt;0,U$6=$F45),"◆",""))</f>
        <v/>
      </c>
      <c r="V45" s="78" t="str">
        <f>IF(AND($D45&gt;0,V$6&gt;=$D45,V$6&lt;=$E45),1,IF(AND($F45&gt;0,V$6=$F45),"◆",""))</f>
        <v/>
      </c>
      <c r="W45" s="78" t="str">
        <f>IF(AND($D45&gt;0,W$6&gt;=$D45,W$6&lt;=$E45),1,IF(AND($F45&gt;0,W$6=$F45),"◆",""))</f>
        <v/>
      </c>
      <c r="X45" s="78" t="str">
        <f>IF(AND($D45&gt;0,X$6&gt;=$D45,X$6&lt;=$E45),1,IF(AND($F45&gt;0,X$6=$F45),"◆",""))</f>
        <v/>
      </c>
      <c r="Y45" s="78" t="str">
        <f>IF(AND($D45&gt;0,Y$6&gt;=$D45,Y$6&lt;=$E45),1,IF(AND($F45&gt;0,Y$6=$F45),"◆",""))</f>
        <v/>
      </c>
      <c r="Z45" s="78" t="str">
        <f>IF(AND($D45&gt;0,Z$6&gt;=$D45,Z$6&lt;=$E45),1,IF(AND($F45&gt;0,Z$6=$F45),"◆",""))</f>
        <v/>
      </c>
      <c r="AA45" s="78" t="str">
        <f>IF(AND($D45&gt;0,AA$6&gt;=$D45,AA$6&lt;=$E45),1,IF(AND($F45&gt;0,AA$6=$F45),"◆",""))</f>
        <v/>
      </c>
      <c r="AB45" s="78" t="str">
        <f>IF(AND($D45&gt;0,AB$6&gt;=$D45,AB$6&lt;=$E45),1,IF(AND($F45&gt;0,AB$6=$F45),"◆",""))</f>
        <v/>
      </c>
      <c r="AC45" s="78" t="str">
        <f>IF(AND($D45&gt;0,AC$6&gt;=$D45,AC$6&lt;=$E45),1,IF(AND($F45&gt;0,AC$6=$F45),"◆",""))</f>
        <v/>
      </c>
      <c r="AD45" s="78" t="str">
        <f>IF(AND($D45&gt;0,AD$6&gt;=$D45,AD$6&lt;=$E45),1,IF(AND($F45&gt;0,AD$6=$F45),"◆",""))</f>
        <v/>
      </c>
      <c r="AE45" s="78" t="str">
        <f>IF(AND($D45&gt;0,AE$6&gt;=$D45,AE$6&lt;=$E45),1,IF(AND($F45&gt;0,AE$6=$F45),"◆",""))</f>
        <v/>
      </c>
      <c r="AF45" s="78" t="str">
        <f>IF(AND($D45&gt;0,AF$6&gt;=$D45,AF$6&lt;=$E45),1,IF(AND($F45&gt;0,AF$6=$F45),"◆",""))</f>
        <v/>
      </c>
      <c r="AG45" s="78" t="str">
        <f>IF(AND($D45&gt;0,AG$6&gt;=$D45,AG$6&lt;=$E45),1,IF(AND($F45&gt;0,AG$6=$F45),"◆",""))</f>
        <v/>
      </c>
      <c r="AH45" s="78" t="str">
        <f>IF(AND($D45&gt;0,AH$6&gt;=$D45,AH$6&lt;=$E45),1,IF(AND($F45&gt;0,AH$6=$F45),"◆",""))</f>
        <v/>
      </c>
      <c r="AI45" s="78" t="str">
        <f>IF(AND($D45&gt;0,AI$6&gt;=$D45,AI$6&lt;=$E45),1,IF(AND($F45&gt;0,AI$6=$F45),"◆",""))</f>
        <v/>
      </c>
      <c r="AJ45" s="78" t="str">
        <f>IF(AND($D45&gt;0,AJ$6&gt;=$D45,AJ$6&lt;=$E45),1,IF(AND($F45&gt;0,AJ$6=$F45),"◆",""))</f>
        <v/>
      </c>
      <c r="AK45" s="78" t="str">
        <f>IF(AND($D45&gt;0,AK$6&gt;=$D45,AK$6&lt;=$E45),1,IF(AND($F45&gt;0,AK$6=$F45),"◆",""))</f>
        <v/>
      </c>
      <c r="AL45" s="78" t="str">
        <f>IF(AND($D45&gt;0,AL$6&gt;=$D45,AL$6&lt;=$E45),1,IF(AND($F45&gt;0,AL$6=$F45),"◆",""))</f>
        <v/>
      </c>
      <c r="AM45" s="78" t="str">
        <f>IF(AND($D45&gt;0,AM$6&gt;=$D45,AM$6&lt;=$E45),1,IF(AND($F45&gt;0,AM$6=$F45),"◆",""))</f>
        <v/>
      </c>
      <c r="AN45" s="78" t="str">
        <f>IF(AND($D45&gt;0,AN$6&gt;=$D45,AN$6&lt;=$E45),1,IF(AND($F45&gt;0,AN$6=$F45),"◆",""))</f>
        <v/>
      </c>
      <c r="AO45" s="78" t="str">
        <f>IF(AND($D45&gt;0,AO$6&gt;=$D45,AO$6&lt;=$E45),1,IF(AND($F45&gt;0,AO$6=$F45),"◆",""))</f>
        <v/>
      </c>
      <c r="AP45" s="78" t="str">
        <f>IF(AND($D45&gt;0,AP$6&gt;=$D45,AP$6&lt;=$E45),1,IF(AND($F45&gt;0,AP$6=$F45),"◆",""))</f>
        <v/>
      </c>
      <c r="AQ45" s="78" t="str">
        <f>IF(AND($D45&gt;0,AQ$6&gt;=$D45,AQ$6&lt;=$E45),1,IF(AND($F45&gt;0,AQ$6=$F45),"◆",""))</f>
        <v/>
      </c>
      <c r="AR45" s="78" t="str">
        <f>IF(AND($D45&gt;0,AR$6&gt;=$D45,AR$6&lt;=$E45),1,IF(AND($F45&gt;0,AR$6=$F45),"◆",""))</f>
        <v/>
      </c>
      <c r="AS45" s="78" t="str">
        <f>IF(AND($D45&gt;0,AS$6&gt;=$D45,AS$6&lt;=$E45),1,IF(AND($F45&gt;0,AS$6=$F45),"◆",""))</f>
        <v/>
      </c>
      <c r="AT45" s="78" t="str">
        <f>IF(AND($D45&gt;0,AT$6&gt;=$D45,AT$6&lt;=$E45),1,IF(AND($F45&gt;0,AT$6=$F45),"◆",""))</f>
        <v/>
      </c>
      <c r="AU45" s="78" t="str">
        <f>IF(AND($D45&gt;0,AU$6&gt;=$D45,AU$6&lt;=$E45),1,IF(AND($F45&gt;0,AU$6=$F45),"◆",""))</f>
        <v/>
      </c>
      <c r="AV45" s="78" t="str">
        <f>IF(AND($D45&gt;0,AV$6&gt;=$D45,AV$6&lt;=$E45),1,IF(AND($F45&gt;0,AV$6=$F45),"◆",""))</f>
        <v/>
      </c>
      <c r="AW45" s="78" t="str">
        <f>IF(AND($D45&gt;0,AW$6&gt;=$D45,AW$6&lt;=$E45),1,IF(AND($F45&gt;0,AW$6=$F45),"◆",""))</f>
        <v/>
      </c>
      <c r="AX45" s="78" t="str">
        <f>IF(AND($D45&gt;0,AX$6&gt;=$D45,AX$6&lt;=$E45),1,IF(AND($F45&gt;0,AX$6=$F45),"◆",""))</f>
        <v/>
      </c>
      <c r="AY45" s="78" t="str">
        <f>IF(AND($D45&gt;0,AY$6&gt;=$D45,AY$6&lt;=$E45),1,IF(AND($F45&gt;0,AY$6=$F45),"◆",""))</f>
        <v/>
      </c>
      <c r="AZ45" s="78" t="str">
        <f>IF(AND($D45&gt;0,AZ$6&gt;=$D45,AZ$6&lt;=$E45),1,IF(AND($F45&gt;0,AZ$6=$F45),"◆",""))</f>
        <v/>
      </c>
      <c r="BA45" s="78" t="str">
        <f>IF(AND($D45&gt;0,BA$6&gt;=$D45,BA$6&lt;=$E45),1,IF(AND($F45&gt;0,BA$6=$F45),"◆",""))</f>
        <v/>
      </c>
      <c r="BB45" s="78" t="str">
        <f>IF(AND($D45&gt;0,BB$6&gt;=$D45,BB$6&lt;=$E45),1,IF(AND($F45&gt;0,BB$6=$F45),"◆",""))</f>
        <v/>
      </c>
      <c r="BC45" s="78" t="str">
        <f>IF(AND($D45&gt;0,BC$6&gt;=$D45,BC$6&lt;=$E45),1,IF(AND($F45&gt;0,BC$6=$F45),"◆",""))</f>
        <v/>
      </c>
      <c r="BD45" s="78" t="str">
        <f>IF(AND($D45&gt;0,BD$6&gt;=$D45,BD$6&lt;=$E45),1,IF(AND($F45&gt;0,BD$6=$F45),"◆",""))</f>
        <v/>
      </c>
      <c r="BE45" s="78" t="str">
        <f>IF(AND($D45&gt;0,BE$6&gt;=$D45,BE$6&lt;=$E45),1,IF(AND($F45&gt;0,BE$6=$F45),"◆",""))</f>
        <v/>
      </c>
      <c r="BF45" s="78" t="str">
        <f>IF(AND($D45&gt;0,BF$6&gt;=$D45,BF$6&lt;=$E45),1,IF(AND($F45&gt;0,BF$6=$F45),"◆",""))</f>
        <v/>
      </c>
      <c r="BG45" s="78" t="str">
        <f>IF(AND($D45&gt;0,BG$6&gt;=$D45,BG$6&lt;=$E45),1,IF(AND($F45&gt;0,BG$6=$F45),"◆",""))</f>
        <v/>
      </c>
      <c r="BH45" s="78" t="str">
        <f>IF(AND($D45&gt;0,BH$6&gt;=$D45,BH$6&lt;=$E45),1,IF(AND($F45&gt;0,BH$6=$F45),"◆",""))</f>
        <v/>
      </c>
      <c r="BI45" s="78" t="str">
        <f>IF(AND($D45&gt;0,BI$6&gt;=$D45,BI$6&lt;=$E45),1,IF(AND($F45&gt;0,BI$6=$F45),"◆",""))</f>
        <v/>
      </c>
      <c r="BJ45" s="78" t="str">
        <f>IF(AND($D45&gt;0,BJ$6&gt;=$D45,BJ$6&lt;=$E45),1,IF(AND($F45&gt;0,BJ$6=$F45),"◆",""))</f>
        <v/>
      </c>
      <c r="BK45" s="78" t="str">
        <f>IF(AND($D45&gt;0,BK$6&gt;=$D45,BK$6&lt;=$E45),1,IF(AND($F45&gt;0,BK$6=$F45),"◆",""))</f>
        <v/>
      </c>
      <c r="BL45" s="78" t="str">
        <f>IF(AND($D45&gt;0,BL$6&gt;=$D45,BL$6&lt;=$E45),1,IF(AND($F45&gt;0,BL$6=$F45),"◆",""))</f>
        <v/>
      </c>
      <c r="BM45" s="78" t="str">
        <f>IF(AND($D45&gt;0,BM$6&gt;=$D45,BM$6&lt;=$E45),1,IF(AND($F45&gt;0,BM$6=$F45),"◆",""))</f>
        <v/>
      </c>
      <c r="BN45" s="78" t="str">
        <f>IF(AND($D45&gt;0,BN$6&gt;=$D45,BN$6&lt;=$E45),1,IF(AND($F45&gt;0,BN$6=$F45),"◆",""))</f>
        <v/>
      </c>
      <c r="BO45" s="78" t="str">
        <f>IF(AND($D45&gt;0,BO$6&gt;=$D45,BO$6&lt;=$E45),1,IF(AND($F45&gt;0,BO$6=$F45),"◆",""))</f>
        <v/>
      </c>
      <c r="BP45" s="78" t="str">
        <f>IF(AND($D45&gt;0,BP$6&gt;=$D45,BP$6&lt;=$E45),1,IF(AND($F45&gt;0,BP$6=$F45),"◆",""))</f>
        <v/>
      </c>
    </row>
    <row r="46">
      <c r="A46" s="75" t="str">
        <f>IF(INDEX(of_ref,40)="","",INDEX(of_num,40)&amp;"")</f>
        <v/>
      </c>
      <c r="B46" s="75" t="str">
        <f>IF(INDEX(of_ref,40)="","",INDEX(of_des,40)&amp;"")</f>
        <v/>
      </c>
      <c r="C46" s="76" t="str">
        <f>IF(INDEX(of_ref,40)="","",INDEX(of_poste,40)&amp;"")</f>
        <v/>
      </c>
      <c r="D46" s="77">
        <f>INDEX(of_start,40)</f>
        <v>0.0</v>
      </c>
      <c r="E46" s="77">
        <f>INDEX(of_end,40)</f>
        <v>0.0</v>
      </c>
      <c r="F46" s="77">
        <f>IF(N(INDEX(of_need,40))=0,0,INDEX(of_need,40))</f>
        <v>0.0</v>
      </c>
      <c r="G46" s="76" t="str">
        <f>IF(INDEX(of_ref,40)="","",INDEX(of_etat,40)&amp;"")</f>
        <v/>
      </c>
      <c r="I46" s="78" t="str">
        <f>IF(AND($D46&gt;0,I$6&gt;=$D46,I$6&lt;=$E46),1,IF(AND($F46&gt;0,I$6=$F46),"◆",""))</f>
        <v/>
      </c>
      <c r="J46" s="78" t="str">
        <f>IF(AND($D46&gt;0,J$6&gt;=$D46,J$6&lt;=$E46),1,IF(AND($F46&gt;0,J$6=$F46),"◆",""))</f>
        <v/>
      </c>
      <c r="K46" s="78" t="str">
        <f>IF(AND($D46&gt;0,K$6&gt;=$D46,K$6&lt;=$E46),1,IF(AND($F46&gt;0,K$6=$F46),"◆",""))</f>
        <v/>
      </c>
      <c r="L46" s="78" t="str">
        <f>IF(AND($D46&gt;0,L$6&gt;=$D46,L$6&lt;=$E46),1,IF(AND($F46&gt;0,L$6=$F46),"◆",""))</f>
        <v/>
      </c>
      <c r="M46" s="78" t="str">
        <f>IF(AND($D46&gt;0,M$6&gt;=$D46,M$6&lt;=$E46),1,IF(AND($F46&gt;0,M$6=$F46),"◆",""))</f>
        <v/>
      </c>
      <c r="N46" s="78" t="str">
        <f>IF(AND($D46&gt;0,N$6&gt;=$D46,N$6&lt;=$E46),1,IF(AND($F46&gt;0,N$6=$F46),"◆",""))</f>
        <v/>
      </c>
      <c r="O46" s="78" t="str">
        <f>IF(AND($D46&gt;0,O$6&gt;=$D46,O$6&lt;=$E46),1,IF(AND($F46&gt;0,O$6=$F46),"◆",""))</f>
        <v/>
      </c>
      <c r="P46" s="78" t="str">
        <f>IF(AND($D46&gt;0,P$6&gt;=$D46,P$6&lt;=$E46),1,IF(AND($F46&gt;0,P$6=$F46),"◆",""))</f>
        <v/>
      </c>
      <c r="Q46" s="78" t="str">
        <f>IF(AND($D46&gt;0,Q$6&gt;=$D46,Q$6&lt;=$E46),1,IF(AND($F46&gt;0,Q$6=$F46),"◆",""))</f>
        <v/>
      </c>
      <c r="R46" s="78" t="str">
        <f>IF(AND($D46&gt;0,R$6&gt;=$D46,R$6&lt;=$E46),1,IF(AND($F46&gt;0,R$6=$F46),"◆",""))</f>
        <v/>
      </c>
      <c r="S46" s="78" t="str">
        <f>IF(AND($D46&gt;0,S$6&gt;=$D46,S$6&lt;=$E46),1,IF(AND($F46&gt;0,S$6=$F46),"◆",""))</f>
        <v/>
      </c>
      <c r="T46" s="78" t="str">
        <f>IF(AND($D46&gt;0,T$6&gt;=$D46,T$6&lt;=$E46),1,IF(AND($F46&gt;0,T$6=$F46),"◆",""))</f>
        <v/>
      </c>
      <c r="U46" s="78" t="str">
        <f>IF(AND($D46&gt;0,U$6&gt;=$D46,U$6&lt;=$E46),1,IF(AND($F46&gt;0,U$6=$F46),"◆",""))</f>
        <v/>
      </c>
      <c r="V46" s="78" t="str">
        <f>IF(AND($D46&gt;0,V$6&gt;=$D46,V$6&lt;=$E46),1,IF(AND($F46&gt;0,V$6=$F46),"◆",""))</f>
        <v/>
      </c>
      <c r="W46" s="78" t="str">
        <f>IF(AND($D46&gt;0,W$6&gt;=$D46,W$6&lt;=$E46),1,IF(AND($F46&gt;0,W$6=$F46),"◆",""))</f>
        <v/>
      </c>
      <c r="X46" s="78" t="str">
        <f>IF(AND($D46&gt;0,X$6&gt;=$D46,X$6&lt;=$E46),1,IF(AND($F46&gt;0,X$6=$F46),"◆",""))</f>
        <v/>
      </c>
      <c r="Y46" s="78" t="str">
        <f>IF(AND($D46&gt;0,Y$6&gt;=$D46,Y$6&lt;=$E46),1,IF(AND($F46&gt;0,Y$6=$F46),"◆",""))</f>
        <v/>
      </c>
      <c r="Z46" s="78" t="str">
        <f>IF(AND($D46&gt;0,Z$6&gt;=$D46,Z$6&lt;=$E46),1,IF(AND($F46&gt;0,Z$6=$F46),"◆",""))</f>
        <v/>
      </c>
      <c r="AA46" s="78" t="str">
        <f>IF(AND($D46&gt;0,AA$6&gt;=$D46,AA$6&lt;=$E46),1,IF(AND($F46&gt;0,AA$6=$F46),"◆",""))</f>
        <v/>
      </c>
      <c r="AB46" s="78" t="str">
        <f>IF(AND($D46&gt;0,AB$6&gt;=$D46,AB$6&lt;=$E46),1,IF(AND($F46&gt;0,AB$6=$F46),"◆",""))</f>
        <v/>
      </c>
      <c r="AC46" s="78" t="str">
        <f>IF(AND($D46&gt;0,AC$6&gt;=$D46,AC$6&lt;=$E46),1,IF(AND($F46&gt;0,AC$6=$F46),"◆",""))</f>
        <v/>
      </c>
      <c r="AD46" s="78" t="str">
        <f>IF(AND($D46&gt;0,AD$6&gt;=$D46,AD$6&lt;=$E46),1,IF(AND($F46&gt;0,AD$6=$F46),"◆",""))</f>
        <v/>
      </c>
      <c r="AE46" s="78" t="str">
        <f>IF(AND($D46&gt;0,AE$6&gt;=$D46,AE$6&lt;=$E46),1,IF(AND($F46&gt;0,AE$6=$F46),"◆",""))</f>
        <v/>
      </c>
      <c r="AF46" s="78" t="str">
        <f>IF(AND($D46&gt;0,AF$6&gt;=$D46,AF$6&lt;=$E46),1,IF(AND($F46&gt;0,AF$6=$F46),"◆",""))</f>
        <v/>
      </c>
      <c r="AG46" s="78" t="str">
        <f>IF(AND($D46&gt;0,AG$6&gt;=$D46,AG$6&lt;=$E46),1,IF(AND($F46&gt;0,AG$6=$F46),"◆",""))</f>
        <v/>
      </c>
      <c r="AH46" s="78" t="str">
        <f>IF(AND($D46&gt;0,AH$6&gt;=$D46,AH$6&lt;=$E46),1,IF(AND($F46&gt;0,AH$6=$F46),"◆",""))</f>
        <v/>
      </c>
      <c r="AI46" s="78" t="str">
        <f>IF(AND($D46&gt;0,AI$6&gt;=$D46,AI$6&lt;=$E46),1,IF(AND($F46&gt;0,AI$6=$F46),"◆",""))</f>
        <v/>
      </c>
      <c r="AJ46" s="78" t="str">
        <f>IF(AND($D46&gt;0,AJ$6&gt;=$D46,AJ$6&lt;=$E46),1,IF(AND($F46&gt;0,AJ$6=$F46),"◆",""))</f>
        <v/>
      </c>
      <c r="AK46" s="78" t="str">
        <f>IF(AND($D46&gt;0,AK$6&gt;=$D46,AK$6&lt;=$E46),1,IF(AND($F46&gt;0,AK$6=$F46),"◆",""))</f>
        <v/>
      </c>
      <c r="AL46" s="78" t="str">
        <f>IF(AND($D46&gt;0,AL$6&gt;=$D46,AL$6&lt;=$E46),1,IF(AND($F46&gt;0,AL$6=$F46),"◆",""))</f>
        <v/>
      </c>
      <c r="AM46" s="78" t="str">
        <f>IF(AND($D46&gt;0,AM$6&gt;=$D46,AM$6&lt;=$E46),1,IF(AND($F46&gt;0,AM$6=$F46),"◆",""))</f>
        <v/>
      </c>
      <c r="AN46" s="78" t="str">
        <f>IF(AND($D46&gt;0,AN$6&gt;=$D46,AN$6&lt;=$E46),1,IF(AND($F46&gt;0,AN$6=$F46),"◆",""))</f>
        <v/>
      </c>
      <c r="AO46" s="78" t="str">
        <f>IF(AND($D46&gt;0,AO$6&gt;=$D46,AO$6&lt;=$E46),1,IF(AND($F46&gt;0,AO$6=$F46),"◆",""))</f>
        <v/>
      </c>
      <c r="AP46" s="78" t="str">
        <f>IF(AND($D46&gt;0,AP$6&gt;=$D46,AP$6&lt;=$E46),1,IF(AND($F46&gt;0,AP$6=$F46),"◆",""))</f>
        <v/>
      </c>
      <c r="AQ46" s="78" t="str">
        <f>IF(AND($D46&gt;0,AQ$6&gt;=$D46,AQ$6&lt;=$E46),1,IF(AND($F46&gt;0,AQ$6=$F46),"◆",""))</f>
        <v/>
      </c>
      <c r="AR46" s="78" t="str">
        <f>IF(AND($D46&gt;0,AR$6&gt;=$D46,AR$6&lt;=$E46),1,IF(AND($F46&gt;0,AR$6=$F46),"◆",""))</f>
        <v/>
      </c>
      <c r="AS46" s="78" t="str">
        <f>IF(AND($D46&gt;0,AS$6&gt;=$D46,AS$6&lt;=$E46),1,IF(AND($F46&gt;0,AS$6=$F46),"◆",""))</f>
        <v/>
      </c>
      <c r="AT46" s="78" t="str">
        <f>IF(AND($D46&gt;0,AT$6&gt;=$D46,AT$6&lt;=$E46),1,IF(AND($F46&gt;0,AT$6=$F46),"◆",""))</f>
        <v/>
      </c>
      <c r="AU46" s="78" t="str">
        <f>IF(AND($D46&gt;0,AU$6&gt;=$D46,AU$6&lt;=$E46),1,IF(AND($F46&gt;0,AU$6=$F46),"◆",""))</f>
        <v/>
      </c>
      <c r="AV46" s="78" t="str">
        <f>IF(AND($D46&gt;0,AV$6&gt;=$D46,AV$6&lt;=$E46),1,IF(AND($F46&gt;0,AV$6=$F46),"◆",""))</f>
        <v/>
      </c>
      <c r="AW46" s="78" t="str">
        <f>IF(AND($D46&gt;0,AW$6&gt;=$D46,AW$6&lt;=$E46),1,IF(AND($F46&gt;0,AW$6=$F46),"◆",""))</f>
        <v/>
      </c>
      <c r="AX46" s="78" t="str">
        <f>IF(AND($D46&gt;0,AX$6&gt;=$D46,AX$6&lt;=$E46),1,IF(AND($F46&gt;0,AX$6=$F46),"◆",""))</f>
        <v/>
      </c>
      <c r="AY46" s="78" t="str">
        <f>IF(AND($D46&gt;0,AY$6&gt;=$D46,AY$6&lt;=$E46),1,IF(AND($F46&gt;0,AY$6=$F46),"◆",""))</f>
        <v/>
      </c>
      <c r="AZ46" s="78" t="str">
        <f>IF(AND($D46&gt;0,AZ$6&gt;=$D46,AZ$6&lt;=$E46),1,IF(AND($F46&gt;0,AZ$6=$F46),"◆",""))</f>
        <v/>
      </c>
      <c r="BA46" s="78" t="str">
        <f>IF(AND($D46&gt;0,BA$6&gt;=$D46,BA$6&lt;=$E46),1,IF(AND($F46&gt;0,BA$6=$F46),"◆",""))</f>
        <v/>
      </c>
      <c r="BB46" s="78" t="str">
        <f>IF(AND($D46&gt;0,BB$6&gt;=$D46,BB$6&lt;=$E46),1,IF(AND($F46&gt;0,BB$6=$F46),"◆",""))</f>
        <v/>
      </c>
      <c r="BC46" s="78" t="str">
        <f>IF(AND($D46&gt;0,BC$6&gt;=$D46,BC$6&lt;=$E46),1,IF(AND($F46&gt;0,BC$6=$F46),"◆",""))</f>
        <v/>
      </c>
      <c r="BD46" s="78" t="str">
        <f>IF(AND($D46&gt;0,BD$6&gt;=$D46,BD$6&lt;=$E46),1,IF(AND($F46&gt;0,BD$6=$F46),"◆",""))</f>
        <v/>
      </c>
      <c r="BE46" s="78" t="str">
        <f>IF(AND($D46&gt;0,BE$6&gt;=$D46,BE$6&lt;=$E46),1,IF(AND($F46&gt;0,BE$6=$F46),"◆",""))</f>
        <v/>
      </c>
      <c r="BF46" s="78" t="str">
        <f>IF(AND($D46&gt;0,BF$6&gt;=$D46,BF$6&lt;=$E46),1,IF(AND($F46&gt;0,BF$6=$F46),"◆",""))</f>
        <v/>
      </c>
      <c r="BG46" s="78" t="str">
        <f>IF(AND($D46&gt;0,BG$6&gt;=$D46,BG$6&lt;=$E46),1,IF(AND($F46&gt;0,BG$6=$F46),"◆",""))</f>
        <v/>
      </c>
      <c r="BH46" s="78" t="str">
        <f>IF(AND($D46&gt;0,BH$6&gt;=$D46,BH$6&lt;=$E46),1,IF(AND($F46&gt;0,BH$6=$F46),"◆",""))</f>
        <v/>
      </c>
      <c r="BI46" s="78" t="str">
        <f>IF(AND($D46&gt;0,BI$6&gt;=$D46,BI$6&lt;=$E46),1,IF(AND($F46&gt;0,BI$6=$F46),"◆",""))</f>
        <v/>
      </c>
      <c r="BJ46" s="78" t="str">
        <f>IF(AND($D46&gt;0,BJ$6&gt;=$D46,BJ$6&lt;=$E46),1,IF(AND($F46&gt;0,BJ$6=$F46),"◆",""))</f>
        <v/>
      </c>
      <c r="BK46" s="78" t="str">
        <f>IF(AND($D46&gt;0,BK$6&gt;=$D46,BK$6&lt;=$E46),1,IF(AND($F46&gt;0,BK$6=$F46),"◆",""))</f>
        <v/>
      </c>
      <c r="BL46" s="78" t="str">
        <f>IF(AND($D46&gt;0,BL$6&gt;=$D46,BL$6&lt;=$E46),1,IF(AND($F46&gt;0,BL$6=$F46),"◆",""))</f>
        <v/>
      </c>
      <c r="BM46" s="78" t="str">
        <f>IF(AND($D46&gt;0,BM$6&gt;=$D46,BM$6&lt;=$E46),1,IF(AND($F46&gt;0,BM$6=$F46),"◆",""))</f>
        <v/>
      </c>
      <c r="BN46" s="78" t="str">
        <f>IF(AND($D46&gt;0,BN$6&gt;=$D46,BN$6&lt;=$E46),1,IF(AND($F46&gt;0,BN$6=$F46),"◆",""))</f>
        <v/>
      </c>
      <c r="BO46" s="78" t="str">
        <f>IF(AND($D46&gt;0,BO$6&gt;=$D46,BO$6&lt;=$E46),1,IF(AND($F46&gt;0,BO$6=$F46),"◆",""))</f>
        <v/>
      </c>
      <c r="BP46" s="78" t="str">
        <f>IF(AND($D46&gt;0,BP$6&gt;=$D46,BP$6&lt;=$E46),1,IF(AND($F46&gt;0,BP$6=$F46),"◆",""))</f>
        <v/>
      </c>
    </row>
    <row r="47">
      <c r="A47" s="75" t="str">
        <f>IF(INDEX(of_ref,41)="","",INDEX(of_num,41)&amp;"")</f>
        <v/>
      </c>
      <c r="B47" s="75" t="str">
        <f>IF(INDEX(of_ref,41)="","",INDEX(of_des,41)&amp;"")</f>
        <v/>
      </c>
      <c r="C47" s="76" t="str">
        <f>IF(INDEX(of_ref,41)="","",INDEX(of_poste,41)&amp;"")</f>
        <v/>
      </c>
      <c r="D47" s="77">
        <f>INDEX(of_start,41)</f>
        <v>0.0</v>
      </c>
      <c r="E47" s="77">
        <f>INDEX(of_end,41)</f>
        <v>0.0</v>
      </c>
      <c r="F47" s="77">
        <f>IF(N(INDEX(of_need,41))=0,0,INDEX(of_need,41))</f>
        <v>0.0</v>
      </c>
      <c r="G47" s="76" t="str">
        <f>IF(INDEX(of_ref,41)="","",INDEX(of_etat,41)&amp;"")</f>
        <v/>
      </c>
      <c r="I47" s="78" t="str">
        <f>IF(AND($D47&gt;0,I$6&gt;=$D47,I$6&lt;=$E47),1,IF(AND($F47&gt;0,I$6=$F47),"◆",""))</f>
        <v/>
      </c>
      <c r="J47" s="78" t="str">
        <f>IF(AND($D47&gt;0,J$6&gt;=$D47,J$6&lt;=$E47),1,IF(AND($F47&gt;0,J$6=$F47),"◆",""))</f>
        <v/>
      </c>
      <c r="K47" s="78" t="str">
        <f>IF(AND($D47&gt;0,K$6&gt;=$D47,K$6&lt;=$E47),1,IF(AND($F47&gt;0,K$6=$F47),"◆",""))</f>
        <v/>
      </c>
      <c r="L47" s="78" t="str">
        <f>IF(AND($D47&gt;0,L$6&gt;=$D47,L$6&lt;=$E47),1,IF(AND($F47&gt;0,L$6=$F47),"◆",""))</f>
        <v/>
      </c>
      <c r="M47" s="78" t="str">
        <f>IF(AND($D47&gt;0,M$6&gt;=$D47,M$6&lt;=$E47),1,IF(AND($F47&gt;0,M$6=$F47),"◆",""))</f>
        <v/>
      </c>
      <c r="N47" s="78" t="str">
        <f>IF(AND($D47&gt;0,N$6&gt;=$D47,N$6&lt;=$E47),1,IF(AND($F47&gt;0,N$6=$F47),"◆",""))</f>
        <v/>
      </c>
      <c r="O47" s="78" t="str">
        <f>IF(AND($D47&gt;0,O$6&gt;=$D47,O$6&lt;=$E47),1,IF(AND($F47&gt;0,O$6=$F47),"◆",""))</f>
        <v/>
      </c>
      <c r="P47" s="78" t="str">
        <f>IF(AND($D47&gt;0,P$6&gt;=$D47,P$6&lt;=$E47),1,IF(AND($F47&gt;0,P$6=$F47),"◆",""))</f>
        <v/>
      </c>
      <c r="Q47" s="78" t="str">
        <f>IF(AND($D47&gt;0,Q$6&gt;=$D47,Q$6&lt;=$E47),1,IF(AND($F47&gt;0,Q$6=$F47),"◆",""))</f>
        <v/>
      </c>
      <c r="R47" s="78" t="str">
        <f>IF(AND($D47&gt;0,R$6&gt;=$D47,R$6&lt;=$E47),1,IF(AND($F47&gt;0,R$6=$F47),"◆",""))</f>
        <v/>
      </c>
      <c r="S47" s="78" t="str">
        <f>IF(AND($D47&gt;0,S$6&gt;=$D47,S$6&lt;=$E47),1,IF(AND($F47&gt;0,S$6=$F47),"◆",""))</f>
        <v/>
      </c>
      <c r="T47" s="78" t="str">
        <f>IF(AND($D47&gt;0,T$6&gt;=$D47,T$6&lt;=$E47),1,IF(AND($F47&gt;0,T$6=$F47),"◆",""))</f>
        <v/>
      </c>
      <c r="U47" s="78" t="str">
        <f>IF(AND($D47&gt;0,U$6&gt;=$D47,U$6&lt;=$E47),1,IF(AND($F47&gt;0,U$6=$F47),"◆",""))</f>
        <v/>
      </c>
      <c r="V47" s="78" t="str">
        <f>IF(AND($D47&gt;0,V$6&gt;=$D47,V$6&lt;=$E47),1,IF(AND($F47&gt;0,V$6=$F47),"◆",""))</f>
        <v/>
      </c>
      <c r="W47" s="78" t="str">
        <f>IF(AND($D47&gt;0,W$6&gt;=$D47,W$6&lt;=$E47),1,IF(AND($F47&gt;0,W$6=$F47),"◆",""))</f>
        <v/>
      </c>
      <c r="X47" s="78" t="str">
        <f>IF(AND($D47&gt;0,X$6&gt;=$D47,X$6&lt;=$E47),1,IF(AND($F47&gt;0,X$6=$F47),"◆",""))</f>
        <v/>
      </c>
      <c r="Y47" s="78" t="str">
        <f>IF(AND($D47&gt;0,Y$6&gt;=$D47,Y$6&lt;=$E47),1,IF(AND($F47&gt;0,Y$6=$F47),"◆",""))</f>
        <v/>
      </c>
      <c r="Z47" s="78" t="str">
        <f>IF(AND($D47&gt;0,Z$6&gt;=$D47,Z$6&lt;=$E47),1,IF(AND($F47&gt;0,Z$6=$F47),"◆",""))</f>
        <v/>
      </c>
      <c r="AA47" s="78" t="str">
        <f>IF(AND($D47&gt;0,AA$6&gt;=$D47,AA$6&lt;=$E47),1,IF(AND($F47&gt;0,AA$6=$F47),"◆",""))</f>
        <v/>
      </c>
      <c r="AB47" s="78" t="str">
        <f>IF(AND($D47&gt;0,AB$6&gt;=$D47,AB$6&lt;=$E47),1,IF(AND($F47&gt;0,AB$6=$F47),"◆",""))</f>
        <v/>
      </c>
      <c r="AC47" s="78" t="str">
        <f>IF(AND($D47&gt;0,AC$6&gt;=$D47,AC$6&lt;=$E47),1,IF(AND($F47&gt;0,AC$6=$F47),"◆",""))</f>
        <v/>
      </c>
      <c r="AD47" s="78" t="str">
        <f>IF(AND($D47&gt;0,AD$6&gt;=$D47,AD$6&lt;=$E47),1,IF(AND($F47&gt;0,AD$6=$F47),"◆",""))</f>
        <v/>
      </c>
      <c r="AE47" s="78" t="str">
        <f>IF(AND($D47&gt;0,AE$6&gt;=$D47,AE$6&lt;=$E47),1,IF(AND($F47&gt;0,AE$6=$F47),"◆",""))</f>
        <v/>
      </c>
      <c r="AF47" s="78" t="str">
        <f>IF(AND($D47&gt;0,AF$6&gt;=$D47,AF$6&lt;=$E47),1,IF(AND($F47&gt;0,AF$6=$F47),"◆",""))</f>
        <v/>
      </c>
      <c r="AG47" s="78" t="str">
        <f>IF(AND($D47&gt;0,AG$6&gt;=$D47,AG$6&lt;=$E47),1,IF(AND($F47&gt;0,AG$6=$F47),"◆",""))</f>
        <v/>
      </c>
      <c r="AH47" s="78" t="str">
        <f>IF(AND($D47&gt;0,AH$6&gt;=$D47,AH$6&lt;=$E47),1,IF(AND($F47&gt;0,AH$6=$F47),"◆",""))</f>
        <v/>
      </c>
      <c r="AI47" s="78" t="str">
        <f>IF(AND($D47&gt;0,AI$6&gt;=$D47,AI$6&lt;=$E47),1,IF(AND($F47&gt;0,AI$6=$F47),"◆",""))</f>
        <v/>
      </c>
      <c r="AJ47" s="78" t="str">
        <f>IF(AND($D47&gt;0,AJ$6&gt;=$D47,AJ$6&lt;=$E47),1,IF(AND($F47&gt;0,AJ$6=$F47),"◆",""))</f>
        <v/>
      </c>
      <c r="AK47" s="78" t="str">
        <f>IF(AND($D47&gt;0,AK$6&gt;=$D47,AK$6&lt;=$E47),1,IF(AND($F47&gt;0,AK$6=$F47),"◆",""))</f>
        <v/>
      </c>
      <c r="AL47" s="78" t="str">
        <f>IF(AND($D47&gt;0,AL$6&gt;=$D47,AL$6&lt;=$E47),1,IF(AND($F47&gt;0,AL$6=$F47),"◆",""))</f>
        <v/>
      </c>
      <c r="AM47" s="78" t="str">
        <f>IF(AND($D47&gt;0,AM$6&gt;=$D47,AM$6&lt;=$E47),1,IF(AND($F47&gt;0,AM$6=$F47),"◆",""))</f>
        <v/>
      </c>
      <c r="AN47" s="78" t="str">
        <f>IF(AND($D47&gt;0,AN$6&gt;=$D47,AN$6&lt;=$E47),1,IF(AND($F47&gt;0,AN$6=$F47),"◆",""))</f>
        <v/>
      </c>
      <c r="AO47" s="78" t="str">
        <f>IF(AND($D47&gt;0,AO$6&gt;=$D47,AO$6&lt;=$E47),1,IF(AND($F47&gt;0,AO$6=$F47),"◆",""))</f>
        <v/>
      </c>
      <c r="AP47" s="78" t="str">
        <f>IF(AND($D47&gt;0,AP$6&gt;=$D47,AP$6&lt;=$E47),1,IF(AND($F47&gt;0,AP$6=$F47),"◆",""))</f>
        <v/>
      </c>
      <c r="AQ47" s="78" t="str">
        <f>IF(AND($D47&gt;0,AQ$6&gt;=$D47,AQ$6&lt;=$E47),1,IF(AND($F47&gt;0,AQ$6=$F47),"◆",""))</f>
        <v/>
      </c>
      <c r="AR47" s="78" t="str">
        <f>IF(AND($D47&gt;0,AR$6&gt;=$D47,AR$6&lt;=$E47),1,IF(AND($F47&gt;0,AR$6=$F47),"◆",""))</f>
        <v/>
      </c>
      <c r="AS47" s="78" t="str">
        <f>IF(AND($D47&gt;0,AS$6&gt;=$D47,AS$6&lt;=$E47),1,IF(AND($F47&gt;0,AS$6=$F47),"◆",""))</f>
        <v/>
      </c>
      <c r="AT47" s="78" t="str">
        <f>IF(AND($D47&gt;0,AT$6&gt;=$D47,AT$6&lt;=$E47),1,IF(AND($F47&gt;0,AT$6=$F47),"◆",""))</f>
        <v/>
      </c>
      <c r="AU47" s="78" t="str">
        <f>IF(AND($D47&gt;0,AU$6&gt;=$D47,AU$6&lt;=$E47),1,IF(AND($F47&gt;0,AU$6=$F47),"◆",""))</f>
        <v/>
      </c>
      <c r="AV47" s="78" t="str">
        <f>IF(AND($D47&gt;0,AV$6&gt;=$D47,AV$6&lt;=$E47),1,IF(AND($F47&gt;0,AV$6=$F47),"◆",""))</f>
        <v/>
      </c>
      <c r="AW47" s="78" t="str">
        <f>IF(AND($D47&gt;0,AW$6&gt;=$D47,AW$6&lt;=$E47),1,IF(AND($F47&gt;0,AW$6=$F47),"◆",""))</f>
        <v/>
      </c>
      <c r="AX47" s="78" t="str">
        <f>IF(AND($D47&gt;0,AX$6&gt;=$D47,AX$6&lt;=$E47),1,IF(AND($F47&gt;0,AX$6=$F47),"◆",""))</f>
        <v/>
      </c>
      <c r="AY47" s="78" t="str">
        <f>IF(AND($D47&gt;0,AY$6&gt;=$D47,AY$6&lt;=$E47),1,IF(AND($F47&gt;0,AY$6=$F47),"◆",""))</f>
        <v/>
      </c>
      <c r="AZ47" s="78" t="str">
        <f>IF(AND($D47&gt;0,AZ$6&gt;=$D47,AZ$6&lt;=$E47),1,IF(AND($F47&gt;0,AZ$6=$F47),"◆",""))</f>
        <v/>
      </c>
      <c r="BA47" s="78" t="str">
        <f>IF(AND($D47&gt;0,BA$6&gt;=$D47,BA$6&lt;=$E47),1,IF(AND($F47&gt;0,BA$6=$F47),"◆",""))</f>
        <v/>
      </c>
      <c r="BB47" s="78" t="str">
        <f>IF(AND($D47&gt;0,BB$6&gt;=$D47,BB$6&lt;=$E47),1,IF(AND($F47&gt;0,BB$6=$F47),"◆",""))</f>
        <v/>
      </c>
      <c r="BC47" s="78" t="str">
        <f>IF(AND($D47&gt;0,BC$6&gt;=$D47,BC$6&lt;=$E47),1,IF(AND($F47&gt;0,BC$6=$F47),"◆",""))</f>
        <v/>
      </c>
      <c r="BD47" s="78" t="str">
        <f>IF(AND($D47&gt;0,BD$6&gt;=$D47,BD$6&lt;=$E47),1,IF(AND($F47&gt;0,BD$6=$F47),"◆",""))</f>
        <v/>
      </c>
      <c r="BE47" s="78" t="str">
        <f>IF(AND($D47&gt;0,BE$6&gt;=$D47,BE$6&lt;=$E47),1,IF(AND($F47&gt;0,BE$6=$F47),"◆",""))</f>
        <v/>
      </c>
      <c r="BF47" s="78" t="str">
        <f>IF(AND($D47&gt;0,BF$6&gt;=$D47,BF$6&lt;=$E47),1,IF(AND($F47&gt;0,BF$6=$F47),"◆",""))</f>
        <v/>
      </c>
      <c r="BG47" s="78" t="str">
        <f>IF(AND($D47&gt;0,BG$6&gt;=$D47,BG$6&lt;=$E47),1,IF(AND($F47&gt;0,BG$6=$F47),"◆",""))</f>
        <v/>
      </c>
      <c r="BH47" s="78" t="str">
        <f>IF(AND($D47&gt;0,BH$6&gt;=$D47,BH$6&lt;=$E47),1,IF(AND($F47&gt;0,BH$6=$F47),"◆",""))</f>
        <v/>
      </c>
      <c r="BI47" s="78" t="str">
        <f>IF(AND($D47&gt;0,BI$6&gt;=$D47,BI$6&lt;=$E47),1,IF(AND($F47&gt;0,BI$6=$F47),"◆",""))</f>
        <v/>
      </c>
      <c r="BJ47" s="78" t="str">
        <f>IF(AND($D47&gt;0,BJ$6&gt;=$D47,BJ$6&lt;=$E47),1,IF(AND($F47&gt;0,BJ$6=$F47),"◆",""))</f>
        <v/>
      </c>
      <c r="BK47" s="78" t="str">
        <f>IF(AND($D47&gt;0,BK$6&gt;=$D47,BK$6&lt;=$E47),1,IF(AND($F47&gt;0,BK$6=$F47),"◆",""))</f>
        <v/>
      </c>
      <c r="BL47" s="78" t="str">
        <f>IF(AND($D47&gt;0,BL$6&gt;=$D47,BL$6&lt;=$E47),1,IF(AND($F47&gt;0,BL$6=$F47),"◆",""))</f>
        <v/>
      </c>
      <c r="BM47" s="78" t="str">
        <f>IF(AND($D47&gt;0,BM$6&gt;=$D47,BM$6&lt;=$E47),1,IF(AND($F47&gt;0,BM$6=$F47),"◆",""))</f>
        <v/>
      </c>
      <c r="BN47" s="78" t="str">
        <f>IF(AND($D47&gt;0,BN$6&gt;=$D47,BN$6&lt;=$E47),1,IF(AND($F47&gt;0,BN$6=$F47),"◆",""))</f>
        <v/>
      </c>
      <c r="BO47" s="78" t="str">
        <f>IF(AND($D47&gt;0,BO$6&gt;=$D47,BO$6&lt;=$E47),1,IF(AND($F47&gt;0,BO$6=$F47),"◆",""))</f>
        <v/>
      </c>
      <c r="BP47" s="78" t="str">
        <f>IF(AND($D47&gt;0,BP$6&gt;=$D47,BP$6&lt;=$E47),1,IF(AND($F47&gt;0,BP$6=$F47),"◆",""))</f>
        <v/>
      </c>
    </row>
    <row r="48">
      <c r="A48" s="75" t="str">
        <f>IF(INDEX(of_ref,42)="","",INDEX(of_num,42)&amp;"")</f>
        <v/>
      </c>
      <c r="B48" s="75" t="str">
        <f>IF(INDEX(of_ref,42)="","",INDEX(of_des,42)&amp;"")</f>
        <v/>
      </c>
      <c r="C48" s="76" t="str">
        <f>IF(INDEX(of_ref,42)="","",INDEX(of_poste,42)&amp;"")</f>
        <v/>
      </c>
      <c r="D48" s="77">
        <f>INDEX(of_start,42)</f>
        <v>0.0</v>
      </c>
      <c r="E48" s="77">
        <f>INDEX(of_end,42)</f>
        <v>0.0</v>
      </c>
      <c r="F48" s="77">
        <f>IF(N(INDEX(of_need,42))=0,0,INDEX(of_need,42))</f>
        <v>0.0</v>
      </c>
      <c r="G48" s="76" t="str">
        <f>IF(INDEX(of_ref,42)="","",INDEX(of_etat,42)&amp;"")</f>
        <v/>
      </c>
      <c r="I48" s="78" t="str">
        <f>IF(AND($D48&gt;0,I$6&gt;=$D48,I$6&lt;=$E48),1,IF(AND($F48&gt;0,I$6=$F48),"◆",""))</f>
        <v/>
      </c>
      <c r="J48" s="78" t="str">
        <f>IF(AND($D48&gt;0,J$6&gt;=$D48,J$6&lt;=$E48),1,IF(AND($F48&gt;0,J$6=$F48),"◆",""))</f>
        <v/>
      </c>
      <c r="K48" s="78" t="str">
        <f>IF(AND($D48&gt;0,K$6&gt;=$D48,K$6&lt;=$E48),1,IF(AND($F48&gt;0,K$6=$F48),"◆",""))</f>
        <v/>
      </c>
      <c r="L48" s="78" t="str">
        <f>IF(AND($D48&gt;0,L$6&gt;=$D48,L$6&lt;=$E48),1,IF(AND($F48&gt;0,L$6=$F48),"◆",""))</f>
        <v/>
      </c>
      <c r="M48" s="78" t="str">
        <f>IF(AND($D48&gt;0,M$6&gt;=$D48,M$6&lt;=$E48),1,IF(AND($F48&gt;0,M$6=$F48),"◆",""))</f>
        <v/>
      </c>
      <c r="N48" s="78" t="str">
        <f>IF(AND($D48&gt;0,N$6&gt;=$D48,N$6&lt;=$E48),1,IF(AND($F48&gt;0,N$6=$F48),"◆",""))</f>
        <v/>
      </c>
      <c r="O48" s="78" t="str">
        <f>IF(AND($D48&gt;0,O$6&gt;=$D48,O$6&lt;=$E48),1,IF(AND($F48&gt;0,O$6=$F48),"◆",""))</f>
        <v/>
      </c>
      <c r="P48" s="78" t="str">
        <f>IF(AND($D48&gt;0,P$6&gt;=$D48,P$6&lt;=$E48),1,IF(AND($F48&gt;0,P$6=$F48),"◆",""))</f>
        <v/>
      </c>
      <c r="Q48" s="78" t="str">
        <f>IF(AND($D48&gt;0,Q$6&gt;=$D48,Q$6&lt;=$E48),1,IF(AND($F48&gt;0,Q$6=$F48),"◆",""))</f>
        <v/>
      </c>
      <c r="R48" s="78" t="str">
        <f>IF(AND($D48&gt;0,R$6&gt;=$D48,R$6&lt;=$E48),1,IF(AND($F48&gt;0,R$6=$F48),"◆",""))</f>
        <v/>
      </c>
      <c r="S48" s="78" t="str">
        <f>IF(AND($D48&gt;0,S$6&gt;=$D48,S$6&lt;=$E48),1,IF(AND($F48&gt;0,S$6=$F48),"◆",""))</f>
        <v/>
      </c>
      <c r="T48" s="78" t="str">
        <f>IF(AND($D48&gt;0,T$6&gt;=$D48,T$6&lt;=$E48),1,IF(AND($F48&gt;0,T$6=$F48),"◆",""))</f>
        <v/>
      </c>
      <c r="U48" s="78" t="str">
        <f>IF(AND($D48&gt;0,U$6&gt;=$D48,U$6&lt;=$E48),1,IF(AND($F48&gt;0,U$6=$F48),"◆",""))</f>
        <v/>
      </c>
      <c r="V48" s="78" t="str">
        <f>IF(AND($D48&gt;0,V$6&gt;=$D48,V$6&lt;=$E48),1,IF(AND($F48&gt;0,V$6=$F48),"◆",""))</f>
        <v/>
      </c>
      <c r="W48" s="78" t="str">
        <f>IF(AND($D48&gt;0,W$6&gt;=$D48,W$6&lt;=$E48),1,IF(AND($F48&gt;0,W$6=$F48),"◆",""))</f>
        <v/>
      </c>
      <c r="X48" s="78" t="str">
        <f>IF(AND($D48&gt;0,X$6&gt;=$D48,X$6&lt;=$E48),1,IF(AND($F48&gt;0,X$6=$F48),"◆",""))</f>
        <v/>
      </c>
      <c r="Y48" s="78" t="str">
        <f>IF(AND($D48&gt;0,Y$6&gt;=$D48,Y$6&lt;=$E48),1,IF(AND($F48&gt;0,Y$6=$F48),"◆",""))</f>
        <v/>
      </c>
      <c r="Z48" s="78" t="str">
        <f>IF(AND($D48&gt;0,Z$6&gt;=$D48,Z$6&lt;=$E48),1,IF(AND($F48&gt;0,Z$6=$F48),"◆",""))</f>
        <v/>
      </c>
      <c r="AA48" s="78" t="str">
        <f>IF(AND($D48&gt;0,AA$6&gt;=$D48,AA$6&lt;=$E48),1,IF(AND($F48&gt;0,AA$6=$F48),"◆",""))</f>
        <v/>
      </c>
      <c r="AB48" s="78" t="str">
        <f>IF(AND($D48&gt;0,AB$6&gt;=$D48,AB$6&lt;=$E48),1,IF(AND($F48&gt;0,AB$6=$F48),"◆",""))</f>
        <v/>
      </c>
      <c r="AC48" s="78" t="str">
        <f>IF(AND($D48&gt;0,AC$6&gt;=$D48,AC$6&lt;=$E48),1,IF(AND($F48&gt;0,AC$6=$F48),"◆",""))</f>
        <v/>
      </c>
      <c r="AD48" s="78" t="str">
        <f>IF(AND($D48&gt;0,AD$6&gt;=$D48,AD$6&lt;=$E48),1,IF(AND($F48&gt;0,AD$6=$F48),"◆",""))</f>
        <v/>
      </c>
      <c r="AE48" s="78" t="str">
        <f>IF(AND($D48&gt;0,AE$6&gt;=$D48,AE$6&lt;=$E48),1,IF(AND($F48&gt;0,AE$6=$F48),"◆",""))</f>
        <v/>
      </c>
      <c r="AF48" s="78" t="str">
        <f>IF(AND($D48&gt;0,AF$6&gt;=$D48,AF$6&lt;=$E48),1,IF(AND($F48&gt;0,AF$6=$F48),"◆",""))</f>
        <v/>
      </c>
      <c r="AG48" s="78" t="str">
        <f>IF(AND($D48&gt;0,AG$6&gt;=$D48,AG$6&lt;=$E48),1,IF(AND($F48&gt;0,AG$6=$F48),"◆",""))</f>
        <v/>
      </c>
      <c r="AH48" s="78" t="str">
        <f>IF(AND($D48&gt;0,AH$6&gt;=$D48,AH$6&lt;=$E48),1,IF(AND($F48&gt;0,AH$6=$F48),"◆",""))</f>
        <v/>
      </c>
      <c r="AI48" s="78" t="str">
        <f>IF(AND($D48&gt;0,AI$6&gt;=$D48,AI$6&lt;=$E48),1,IF(AND($F48&gt;0,AI$6=$F48),"◆",""))</f>
        <v/>
      </c>
      <c r="AJ48" s="78" t="str">
        <f>IF(AND($D48&gt;0,AJ$6&gt;=$D48,AJ$6&lt;=$E48),1,IF(AND($F48&gt;0,AJ$6=$F48),"◆",""))</f>
        <v/>
      </c>
      <c r="AK48" s="78" t="str">
        <f>IF(AND($D48&gt;0,AK$6&gt;=$D48,AK$6&lt;=$E48),1,IF(AND($F48&gt;0,AK$6=$F48),"◆",""))</f>
        <v/>
      </c>
      <c r="AL48" s="78" t="str">
        <f>IF(AND($D48&gt;0,AL$6&gt;=$D48,AL$6&lt;=$E48),1,IF(AND($F48&gt;0,AL$6=$F48),"◆",""))</f>
        <v/>
      </c>
      <c r="AM48" s="78" t="str">
        <f>IF(AND($D48&gt;0,AM$6&gt;=$D48,AM$6&lt;=$E48),1,IF(AND($F48&gt;0,AM$6=$F48),"◆",""))</f>
        <v/>
      </c>
      <c r="AN48" s="78" t="str">
        <f>IF(AND($D48&gt;0,AN$6&gt;=$D48,AN$6&lt;=$E48),1,IF(AND($F48&gt;0,AN$6=$F48),"◆",""))</f>
        <v/>
      </c>
      <c r="AO48" s="78" t="str">
        <f>IF(AND($D48&gt;0,AO$6&gt;=$D48,AO$6&lt;=$E48),1,IF(AND($F48&gt;0,AO$6=$F48),"◆",""))</f>
        <v/>
      </c>
      <c r="AP48" s="78" t="str">
        <f>IF(AND($D48&gt;0,AP$6&gt;=$D48,AP$6&lt;=$E48),1,IF(AND($F48&gt;0,AP$6=$F48),"◆",""))</f>
        <v/>
      </c>
      <c r="AQ48" s="78" t="str">
        <f>IF(AND($D48&gt;0,AQ$6&gt;=$D48,AQ$6&lt;=$E48),1,IF(AND($F48&gt;0,AQ$6=$F48),"◆",""))</f>
        <v/>
      </c>
      <c r="AR48" s="78" t="str">
        <f>IF(AND($D48&gt;0,AR$6&gt;=$D48,AR$6&lt;=$E48),1,IF(AND($F48&gt;0,AR$6=$F48),"◆",""))</f>
        <v/>
      </c>
      <c r="AS48" s="78" t="str">
        <f>IF(AND($D48&gt;0,AS$6&gt;=$D48,AS$6&lt;=$E48),1,IF(AND($F48&gt;0,AS$6=$F48),"◆",""))</f>
        <v/>
      </c>
      <c r="AT48" s="78" t="str">
        <f>IF(AND($D48&gt;0,AT$6&gt;=$D48,AT$6&lt;=$E48),1,IF(AND($F48&gt;0,AT$6=$F48),"◆",""))</f>
        <v/>
      </c>
      <c r="AU48" s="78" t="str">
        <f>IF(AND($D48&gt;0,AU$6&gt;=$D48,AU$6&lt;=$E48),1,IF(AND($F48&gt;0,AU$6=$F48),"◆",""))</f>
        <v/>
      </c>
      <c r="AV48" s="78" t="str">
        <f>IF(AND($D48&gt;0,AV$6&gt;=$D48,AV$6&lt;=$E48),1,IF(AND($F48&gt;0,AV$6=$F48),"◆",""))</f>
        <v/>
      </c>
      <c r="AW48" s="78" t="str">
        <f>IF(AND($D48&gt;0,AW$6&gt;=$D48,AW$6&lt;=$E48),1,IF(AND($F48&gt;0,AW$6=$F48),"◆",""))</f>
        <v/>
      </c>
      <c r="AX48" s="78" t="str">
        <f>IF(AND($D48&gt;0,AX$6&gt;=$D48,AX$6&lt;=$E48),1,IF(AND($F48&gt;0,AX$6=$F48),"◆",""))</f>
        <v/>
      </c>
      <c r="AY48" s="78" t="str">
        <f>IF(AND($D48&gt;0,AY$6&gt;=$D48,AY$6&lt;=$E48),1,IF(AND($F48&gt;0,AY$6=$F48),"◆",""))</f>
        <v/>
      </c>
      <c r="AZ48" s="78" t="str">
        <f>IF(AND($D48&gt;0,AZ$6&gt;=$D48,AZ$6&lt;=$E48),1,IF(AND($F48&gt;0,AZ$6=$F48),"◆",""))</f>
        <v/>
      </c>
      <c r="BA48" s="78" t="str">
        <f>IF(AND($D48&gt;0,BA$6&gt;=$D48,BA$6&lt;=$E48),1,IF(AND($F48&gt;0,BA$6=$F48),"◆",""))</f>
        <v/>
      </c>
      <c r="BB48" s="78" t="str">
        <f>IF(AND($D48&gt;0,BB$6&gt;=$D48,BB$6&lt;=$E48),1,IF(AND($F48&gt;0,BB$6=$F48),"◆",""))</f>
        <v/>
      </c>
      <c r="BC48" s="78" t="str">
        <f>IF(AND($D48&gt;0,BC$6&gt;=$D48,BC$6&lt;=$E48),1,IF(AND($F48&gt;0,BC$6=$F48),"◆",""))</f>
        <v/>
      </c>
      <c r="BD48" s="78" t="str">
        <f>IF(AND($D48&gt;0,BD$6&gt;=$D48,BD$6&lt;=$E48),1,IF(AND($F48&gt;0,BD$6=$F48),"◆",""))</f>
        <v/>
      </c>
      <c r="BE48" s="78" t="str">
        <f>IF(AND($D48&gt;0,BE$6&gt;=$D48,BE$6&lt;=$E48),1,IF(AND($F48&gt;0,BE$6=$F48),"◆",""))</f>
        <v/>
      </c>
      <c r="BF48" s="78" t="str">
        <f>IF(AND($D48&gt;0,BF$6&gt;=$D48,BF$6&lt;=$E48),1,IF(AND($F48&gt;0,BF$6=$F48),"◆",""))</f>
        <v/>
      </c>
      <c r="BG48" s="78" t="str">
        <f>IF(AND($D48&gt;0,BG$6&gt;=$D48,BG$6&lt;=$E48),1,IF(AND($F48&gt;0,BG$6=$F48),"◆",""))</f>
        <v/>
      </c>
      <c r="BH48" s="78" t="str">
        <f>IF(AND($D48&gt;0,BH$6&gt;=$D48,BH$6&lt;=$E48),1,IF(AND($F48&gt;0,BH$6=$F48),"◆",""))</f>
        <v/>
      </c>
      <c r="BI48" s="78" t="str">
        <f>IF(AND($D48&gt;0,BI$6&gt;=$D48,BI$6&lt;=$E48),1,IF(AND($F48&gt;0,BI$6=$F48),"◆",""))</f>
        <v/>
      </c>
      <c r="BJ48" s="78" t="str">
        <f>IF(AND($D48&gt;0,BJ$6&gt;=$D48,BJ$6&lt;=$E48),1,IF(AND($F48&gt;0,BJ$6=$F48),"◆",""))</f>
        <v/>
      </c>
      <c r="BK48" s="78" t="str">
        <f>IF(AND($D48&gt;0,BK$6&gt;=$D48,BK$6&lt;=$E48),1,IF(AND($F48&gt;0,BK$6=$F48),"◆",""))</f>
        <v/>
      </c>
      <c r="BL48" s="78" t="str">
        <f>IF(AND($D48&gt;0,BL$6&gt;=$D48,BL$6&lt;=$E48),1,IF(AND($F48&gt;0,BL$6=$F48),"◆",""))</f>
        <v/>
      </c>
      <c r="BM48" s="78" t="str">
        <f>IF(AND($D48&gt;0,BM$6&gt;=$D48,BM$6&lt;=$E48),1,IF(AND($F48&gt;0,BM$6=$F48),"◆",""))</f>
        <v/>
      </c>
      <c r="BN48" s="78" t="str">
        <f>IF(AND($D48&gt;0,BN$6&gt;=$D48,BN$6&lt;=$E48),1,IF(AND($F48&gt;0,BN$6=$F48),"◆",""))</f>
        <v/>
      </c>
      <c r="BO48" s="78" t="str">
        <f>IF(AND($D48&gt;0,BO$6&gt;=$D48,BO$6&lt;=$E48),1,IF(AND($F48&gt;0,BO$6=$F48),"◆",""))</f>
        <v/>
      </c>
      <c r="BP48" s="78" t="str">
        <f>IF(AND($D48&gt;0,BP$6&gt;=$D48,BP$6&lt;=$E48),1,IF(AND($F48&gt;0,BP$6=$F48),"◆",""))</f>
        <v/>
      </c>
    </row>
    <row r="49">
      <c r="A49" s="75" t="str">
        <f>IF(INDEX(of_ref,43)="","",INDEX(of_num,43)&amp;"")</f>
        <v/>
      </c>
      <c r="B49" s="75" t="str">
        <f>IF(INDEX(of_ref,43)="","",INDEX(of_des,43)&amp;"")</f>
        <v/>
      </c>
      <c r="C49" s="76" t="str">
        <f>IF(INDEX(of_ref,43)="","",INDEX(of_poste,43)&amp;"")</f>
        <v/>
      </c>
      <c r="D49" s="77">
        <f>INDEX(of_start,43)</f>
        <v>0.0</v>
      </c>
      <c r="E49" s="77">
        <f>INDEX(of_end,43)</f>
        <v>0.0</v>
      </c>
      <c r="F49" s="77">
        <f>IF(N(INDEX(of_need,43))=0,0,INDEX(of_need,43))</f>
        <v>0.0</v>
      </c>
      <c r="G49" s="76" t="str">
        <f>IF(INDEX(of_ref,43)="","",INDEX(of_etat,43)&amp;"")</f>
        <v/>
      </c>
      <c r="I49" s="78" t="str">
        <f>IF(AND($D49&gt;0,I$6&gt;=$D49,I$6&lt;=$E49),1,IF(AND($F49&gt;0,I$6=$F49),"◆",""))</f>
        <v/>
      </c>
      <c r="J49" s="78" t="str">
        <f>IF(AND($D49&gt;0,J$6&gt;=$D49,J$6&lt;=$E49),1,IF(AND($F49&gt;0,J$6=$F49),"◆",""))</f>
        <v/>
      </c>
      <c r="K49" s="78" t="str">
        <f>IF(AND($D49&gt;0,K$6&gt;=$D49,K$6&lt;=$E49),1,IF(AND($F49&gt;0,K$6=$F49),"◆",""))</f>
        <v/>
      </c>
      <c r="L49" s="78" t="str">
        <f>IF(AND($D49&gt;0,L$6&gt;=$D49,L$6&lt;=$E49),1,IF(AND($F49&gt;0,L$6=$F49),"◆",""))</f>
        <v/>
      </c>
      <c r="M49" s="78" t="str">
        <f>IF(AND($D49&gt;0,M$6&gt;=$D49,M$6&lt;=$E49),1,IF(AND($F49&gt;0,M$6=$F49),"◆",""))</f>
        <v/>
      </c>
      <c r="N49" s="78" t="str">
        <f>IF(AND($D49&gt;0,N$6&gt;=$D49,N$6&lt;=$E49),1,IF(AND($F49&gt;0,N$6=$F49),"◆",""))</f>
        <v/>
      </c>
      <c r="O49" s="78" t="str">
        <f>IF(AND($D49&gt;0,O$6&gt;=$D49,O$6&lt;=$E49),1,IF(AND($F49&gt;0,O$6=$F49),"◆",""))</f>
        <v/>
      </c>
      <c r="P49" s="78" t="str">
        <f>IF(AND($D49&gt;0,P$6&gt;=$D49,P$6&lt;=$E49),1,IF(AND($F49&gt;0,P$6=$F49),"◆",""))</f>
        <v/>
      </c>
      <c r="Q49" s="78" t="str">
        <f>IF(AND($D49&gt;0,Q$6&gt;=$D49,Q$6&lt;=$E49),1,IF(AND($F49&gt;0,Q$6=$F49),"◆",""))</f>
        <v/>
      </c>
      <c r="R49" s="78" t="str">
        <f>IF(AND($D49&gt;0,R$6&gt;=$D49,R$6&lt;=$E49),1,IF(AND($F49&gt;0,R$6=$F49),"◆",""))</f>
        <v/>
      </c>
      <c r="S49" s="78" t="str">
        <f>IF(AND($D49&gt;0,S$6&gt;=$D49,S$6&lt;=$E49),1,IF(AND($F49&gt;0,S$6=$F49),"◆",""))</f>
        <v/>
      </c>
      <c r="T49" s="78" t="str">
        <f>IF(AND($D49&gt;0,T$6&gt;=$D49,T$6&lt;=$E49),1,IF(AND($F49&gt;0,T$6=$F49),"◆",""))</f>
        <v/>
      </c>
      <c r="U49" s="78" t="str">
        <f>IF(AND($D49&gt;0,U$6&gt;=$D49,U$6&lt;=$E49),1,IF(AND($F49&gt;0,U$6=$F49),"◆",""))</f>
        <v/>
      </c>
      <c r="V49" s="78" t="str">
        <f>IF(AND($D49&gt;0,V$6&gt;=$D49,V$6&lt;=$E49),1,IF(AND($F49&gt;0,V$6=$F49),"◆",""))</f>
        <v/>
      </c>
      <c r="W49" s="78" t="str">
        <f>IF(AND($D49&gt;0,W$6&gt;=$D49,W$6&lt;=$E49),1,IF(AND($F49&gt;0,W$6=$F49),"◆",""))</f>
        <v/>
      </c>
      <c r="X49" s="78" t="str">
        <f>IF(AND($D49&gt;0,X$6&gt;=$D49,X$6&lt;=$E49),1,IF(AND($F49&gt;0,X$6=$F49),"◆",""))</f>
        <v/>
      </c>
      <c r="Y49" s="78" t="str">
        <f>IF(AND($D49&gt;0,Y$6&gt;=$D49,Y$6&lt;=$E49),1,IF(AND($F49&gt;0,Y$6=$F49),"◆",""))</f>
        <v/>
      </c>
      <c r="Z49" s="78" t="str">
        <f>IF(AND($D49&gt;0,Z$6&gt;=$D49,Z$6&lt;=$E49),1,IF(AND($F49&gt;0,Z$6=$F49),"◆",""))</f>
        <v/>
      </c>
      <c r="AA49" s="78" t="str">
        <f>IF(AND($D49&gt;0,AA$6&gt;=$D49,AA$6&lt;=$E49),1,IF(AND($F49&gt;0,AA$6=$F49),"◆",""))</f>
        <v/>
      </c>
      <c r="AB49" s="78" t="str">
        <f>IF(AND($D49&gt;0,AB$6&gt;=$D49,AB$6&lt;=$E49),1,IF(AND($F49&gt;0,AB$6=$F49),"◆",""))</f>
        <v/>
      </c>
      <c r="AC49" s="78" t="str">
        <f>IF(AND($D49&gt;0,AC$6&gt;=$D49,AC$6&lt;=$E49),1,IF(AND($F49&gt;0,AC$6=$F49),"◆",""))</f>
        <v/>
      </c>
      <c r="AD49" s="78" t="str">
        <f>IF(AND($D49&gt;0,AD$6&gt;=$D49,AD$6&lt;=$E49),1,IF(AND($F49&gt;0,AD$6=$F49),"◆",""))</f>
        <v/>
      </c>
      <c r="AE49" s="78" t="str">
        <f>IF(AND($D49&gt;0,AE$6&gt;=$D49,AE$6&lt;=$E49),1,IF(AND($F49&gt;0,AE$6=$F49),"◆",""))</f>
        <v/>
      </c>
      <c r="AF49" s="78" t="str">
        <f>IF(AND($D49&gt;0,AF$6&gt;=$D49,AF$6&lt;=$E49),1,IF(AND($F49&gt;0,AF$6=$F49),"◆",""))</f>
        <v/>
      </c>
      <c r="AG49" s="78" t="str">
        <f>IF(AND($D49&gt;0,AG$6&gt;=$D49,AG$6&lt;=$E49),1,IF(AND($F49&gt;0,AG$6=$F49),"◆",""))</f>
        <v/>
      </c>
      <c r="AH49" s="78" t="str">
        <f>IF(AND($D49&gt;0,AH$6&gt;=$D49,AH$6&lt;=$E49),1,IF(AND($F49&gt;0,AH$6=$F49),"◆",""))</f>
        <v/>
      </c>
      <c r="AI49" s="78" t="str">
        <f>IF(AND($D49&gt;0,AI$6&gt;=$D49,AI$6&lt;=$E49),1,IF(AND($F49&gt;0,AI$6=$F49),"◆",""))</f>
        <v/>
      </c>
      <c r="AJ49" s="78" t="str">
        <f>IF(AND($D49&gt;0,AJ$6&gt;=$D49,AJ$6&lt;=$E49),1,IF(AND($F49&gt;0,AJ$6=$F49),"◆",""))</f>
        <v/>
      </c>
      <c r="AK49" s="78" t="str">
        <f>IF(AND($D49&gt;0,AK$6&gt;=$D49,AK$6&lt;=$E49),1,IF(AND($F49&gt;0,AK$6=$F49),"◆",""))</f>
        <v/>
      </c>
      <c r="AL49" s="78" t="str">
        <f>IF(AND($D49&gt;0,AL$6&gt;=$D49,AL$6&lt;=$E49),1,IF(AND($F49&gt;0,AL$6=$F49),"◆",""))</f>
        <v/>
      </c>
      <c r="AM49" s="78" t="str">
        <f>IF(AND($D49&gt;0,AM$6&gt;=$D49,AM$6&lt;=$E49),1,IF(AND($F49&gt;0,AM$6=$F49),"◆",""))</f>
        <v/>
      </c>
      <c r="AN49" s="78" t="str">
        <f>IF(AND($D49&gt;0,AN$6&gt;=$D49,AN$6&lt;=$E49),1,IF(AND($F49&gt;0,AN$6=$F49),"◆",""))</f>
        <v/>
      </c>
      <c r="AO49" s="78" t="str">
        <f>IF(AND($D49&gt;0,AO$6&gt;=$D49,AO$6&lt;=$E49),1,IF(AND($F49&gt;0,AO$6=$F49),"◆",""))</f>
        <v/>
      </c>
      <c r="AP49" s="78" t="str">
        <f>IF(AND($D49&gt;0,AP$6&gt;=$D49,AP$6&lt;=$E49),1,IF(AND($F49&gt;0,AP$6=$F49),"◆",""))</f>
        <v/>
      </c>
      <c r="AQ49" s="78" t="str">
        <f>IF(AND($D49&gt;0,AQ$6&gt;=$D49,AQ$6&lt;=$E49),1,IF(AND($F49&gt;0,AQ$6=$F49),"◆",""))</f>
        <v/>
      </c>
      <c r="AR49" s="78" t="str">
        <f>IF(AND($D49&gt;0,AR$6&gt;=$D49,AR$6&lt;=$E49),1,IF(AND($F49&gt;0,AR$6=$F49),"◆",""))</f>
        <v/>
      </c>
      <c r="AS49" s="78" t="str">
        <f>IF(AND($D49&gt;0,AS$6&gt;=$D49,AS$6&lt;=$E49),1,IF(AND($F49&gt;0,AS$6=$F49),"◆",""))</f>
        <v/>
      </c>
      <c r="AT49" s="78" t="str">
        <f>IF(AND($D49&gt;0,AT$6&gt;=$D49,AT$6&lt;=$E49),1,IF(AND($F49&gt;0,AT$6=$F49),"◆",""))</f>
        <v/>
      </c>
      <c r="AU49" s="78" t="str">
        <f>IF(AND($D49&gt;0,AU$6&gt;=$D49,AU$6&lt;=$E49),1,IF(AND($F49&gt;0,AU$6=$F49),"◆",""))</f>
        <v/>
      </c>
      <c r="AV49" s="78" t="str">
        <f>IF(AND($D49&gt;0,AV$6&gt;=$D49,AV$6&lt;=$E49),1,IF(AND($F49&gt;0,AV$6=$F49),"◆",""))</f>
        <v/>
      </c>
      <c r="AW49" s="78" t="str">
        <f>IF(AND($D49&gt;0,AW$6&gt;=$D49,AW$6&lt;=$E49),1,IF(AND($F49&gt;0,AW$6=$F49),"◆",""))</f>
        <v/>
      </c>
      <c r="AX49" s="78" t="str">
        <f>IF(AND($D49&gt;0,AX$6&gt;=$D49,AX$6&lt;=$E49),1,IF(AND($F49&gt;0,AX$6=$F49),"◆",""))</f>
        <v/>
      </c>
      <c r="AY49" s="78" t="str">
        <f>IF(AND($D49&gt;0,AY$6&gt;=$D49,AY$6&lt;=$E49),1,IF(AND($F49&gt;0,AY$6=$F49),"◆",""))</f>
        <v/>
      </c>
      <c r="AZ49" s="78" t="str">
        <f>IF(AND($D49&gt;0,AZ$6&gt;=$D49,AZ$6&lt;=$E49),1,IF(AND($F49&gt;0,AZ$6=$F49),"◆",""))</f>
        <v/>
      </c>
      <c r="BA49" s="78" t="str">
        <f>IF(AND($D49&gt;0,BA$6&gt;=$D49,BA$6&lt;=$E49),1,IF(AND($F49&gt;0,BA$6=$F49),"◆",""))</f>
        <v/>
      </c>
      <c r="BB49" s="78" t="str">
        <f>IF(AND($D49&gt;0,BB$6&gt;=$D49,BB$6&lt;=$E49),1,IF(AND($F49&gt;0,BB$6=$F49),"◆",""))</f>
        <v/>
      </c>
      <c r="BC49" s="78" t="str">
        <f>IF(AND($D49&gt;0,BC$6&gt;=$D49,BC$6&lt;=$E49),1,IF(AND($F49&gt;0,BC$6=$F49),"◆",""))</f>
        <v/>
      </c>
      <c r="BD49" s="78" t="str">
        <f>IF(AND($D49&gt;0,BD$6&gt;=$D49,BD$6&lt;=$E49),1,IF(AND($F49&gt;0,BD$6=$F49),"◆",""))</f>
        <v/>
      </c>
      <c r="BE49" s="78" t="str">
        <f>IF(AND($D49&gt;0,BE$6&gt;=$D49,BE$6&lt;=$E49),1,IF(AND($F49&gt;0,BE$6=$F49),"◆",""))</f>
        <v/>
      </c>
      <c r="BF49" s="78" t="str">
        <f>IF(AND($D49&gt;0,BF$6&gt;=$D49,BF$6&lt;=$E49),1,IF(AND($F49&gt;0,BF$6=$F49),"◆",""))</f>
        <v/>
      </c>
      <c r="BG49" s="78" t="str">
        <f>IF(AND($D49&gt;0,BG$6&gt;=$D49,BG$6&lt;=$E49),1,IF(AND($F49&gt;0,BG$6=$F49),"◆",""))</f>
        <v/>
      </c>
      <c r="BH49" s="78" t="str">
        <f>IF(AND($D49&gt;0,BH$6&gt;=$D49,BH$6&lt;=$E49),1,IF(AND($F49&gt;0,BH$6=$F49),"◆",""))</f>
        <v/>
      </c>
      <c r="BI49" s="78" t="str">
        <f>IF(AND($D49&gt;0,BI$6&gt;=$D49,BI$6&lt;=$E49),1,IF(AND($F49&gt;0,BI$6=$F49),"◆",""))</f>
        <v/>
      </c>
      <c r="BJ49" s="78" t="str">
        <f>IF(AND($D49&gt;0,BJ$6&gt;=$D49,BJ$6&lt;=$E49),1,IF(AND($F49&gt;0,BJ$6=$F49),"◆",""))</f>
        <v/>
      </c>
      <c r="BK49" s="78" t="str">
        <f>IF(AND($D49&gt;0,BK$6&gt;=$D49,BK$6&lt;=$E49),1,IF(AND($F49&gt;0,BK$6=$F49),"◆",""))</f>
        <v/>
      </c>
      <c r="BL49" s="78" t="str">
        <f>IF(AND($D49&gt;0,BL$6&gt;=$D49,BL$6&lt;=$E49),1,IF(AND($F49&gt;0,BL$6=$F49),"◆",""))</f>
        <v/>
      </c>
      <c r="BM49" s="78" t="str">
        <f>IF(AND($D49&gt;0,BM$6&gt;=$D49,BM$6&lt;=$E49),1,IF(AND($F49&gt;0,BM$6=$F49),"◆",""))</f>
        <v/>
      </c>
      <c r="BN49" s="78" t="str">
        <f>IF(AND($D49&gt;0,BN$6&gt;=$D49,BN$6&lt;=$E49),1,IF(AND($F49&gt;0,BN$6=$F49),"◆",""))</f>
        <v/>
      </c>
      <c r="BO49" s="78" t="str">
        <f>IF(AND($D49&gt;0,BO$6&gt;=$D49,BO$6&lt;=$E49),1,IF(AND($F49&gt;0,BO$6=$F49),"◆",""))</f>
        <v/>
      </c>
      <c r="BP49" s="78" t="str">
        <f>IF(AND($D49&gt;0,BP$6&gt;=$D49,BP$6&lt;=$E49),1,IF(AND($F49&gt;0,BP$6=$F49),"◆",""))</f>
        <v/>
      </c>
    </row>
    <row r="50">
      <c r="A50" s="75" t="str">
        <f>IF(INDEX(of_ref,44)="","",INDEX(of_num,44)&amp;"")</f>
        <v/>
      </c>
      <c r="B50" s="75" t="str">
        <f>IF(INDEX(of_ref,44)="","",INDEX(of_des,44)&amp;"")</f>
        <v/>
      </c>
      <c r="C50" s="76" t="str">
        <f>IF(INDEX(of_ref,44)="","",INDEX(of_poste,44)&amp;"")</f>
        <v/>
      </c>
      <c r="D50" s="77">
        <f>INDEX(of_start,44)</f>
        <v>0.0</v>
      </c>
      <c r="E50" s="77">
        <f>INDEX(of_end,44)</f>
        <v>0.0</v>
      </c>
      <c r="F50" s="77">
        <f>IF(N(INDEX(of_need,44))=0,0,INDEX(of_need,44))</f>
        <v>0.0</v>
      </c>
      <c r="G50" s="76" t="str">
        <f>IF(INDEX(of_ref,44)="","",INDEX(of_etat,44)&amp;"")</f>
        <v/>
      </c>
      <c r="I50" s="78" t="str">
        <f>IF(AND($D50&gt;0,I$6&gt;=$D50,I$6&lt;=$E50),1,IF(AND($F50&gt;0,I$6=$F50),"◆",""))</f>
        <v/>
      </c>
      <c r="J50" s="78" t="str">
        <f>IF(AND($D50&gt;0,J$6&gt;=$D50,J$6&lt;=$E50),1,IF(AND($F50&gt;0,J$6=$F50),"◆",""))</f>
        <v/>
      </c>
      <c r="K50" s="78" t="str">
        <f>IF(AND($D50&gt;0,K$6&gt;=$D50,K$6&lt;=$E50),1,IF(AND($F50&gt;0,K$6=$F50),"◆",""))</f>
        <v/>
      </c>
      <c r="L50" s="78" t="str">
        <f>IF(AND($D50&gt;0,L$6&gt;=$D50,L$6&lt;=$E50),1,IF(AND($F50&gt;0,L$6=$F50),"◆",""))</f>
        <v/>
      </c>
      <c r="M50" s="78" t="str">
        <f>IF(AND($D50&gt;0,M$6&gt;=$D50,M$6&lt;=$E50),1,IF(AND($F50&gt;0,M$6=$F50),"◆",""))</f>
        <v/>
      </c>
      <c r="N50" s="78" t="str">
        <f>IF(AND($D50&gt;0,N$6&gt;=$D50,N$6&lt;=$E50),1,IF(AND($F50&gt;0,N$6=$F50),"◆",""))</f>
        <v/>
      </c>
      <c r="O50" s="78" t="str">
        <f>IF(AND($D50&gt;0,O$6&gt;=$D50,O$6&lt;=$E50),1,IF(AND($F50&gt;0,O$6=$F50),"◆",""))</f>
        <v/>
      </c>
      <c r="P50" s="78" t="str">
        <f>IF(AND($D50&gt;0,P$6&gt;=$D50,P$6&lt;=$E50),1,IF(AND($F50&gt;0,P$6=$F50),"◆",""))</f>
        <v/>
      </c>
      <c r="Q50" s="78" t="str">
        <f>IF(AND($D50&gt;0,Q$6&gt;=$D50,Q$6&lt;=$E50),1,IF(AND($F50&gt;0,Q$6=$F50),"◆",""))</f>
        <v/>
      </c>
      <c r="R50" s="78" t="str">
        <f>IF(AND($D50&gt;0,R$6&gt;=$D50,R$6&lt;=$E50),1,IF(AND($F50&gt;0,R$6=$F50),"◆",""))</f>
        <v/>
      </c>
      <c r="S50" s="78" t="str">
        <f>IF(AND($D50&gt;0,S$6&gt;=$D50,S$6&lt;=$E50),1,IF(AND($F50&gt;0,S$6=$F50),"◆",""))</f>
        <v/>
      </c>
      <c r="T50" s="78" t="str">
        <f>IF(AND($D50&gt;0,T$6&gt;=$D50,T$6&lt;=$E50),1,IF(AND($F50&gt;0,T$6=$F50),"◆",""))</f>
        <v/>
      </c>
      <c r="U50" s="78" t="str">
        <f>IF(AND($D50&gt;0,U$6&gt;=$D50,U$6&lt;=$E50),1,IF(AND($F50&gt;0,U$6=$F50),"◆",""))</f>
        <v/>
      </c>
      <c r="V50" s="78" t="str">
        <f>IF(AND($D50&gt;0,V$6&gt;=$D50,V$6&lt;=$E50),1,IF(AND($F50&gt;0,V$6=$F50),"◆",""))</f>
        <v/>
      </c>
      <c r="W50" s="78" t="str">
        <f>IF(AND($D50&gt;0,W$6&gt;=$D50,W$6&lt;=$E50),1,IF(AND($F50&gt;0,W$6=$F50),"◆",""))</f>
        <v/>
      </c>
      <c r="X50" s="78" t="str">
        <f>IF(AND($D50&gt;0,X$6&gt;=$D50,X$6&lt;=$E50),1,IF(AND($F50&gt;0,X$6=$F50),"◆",""))</f>
        <v/>
      </c>
      <c r="Y50" s="78" t="str">
        <f>IF(AND($D50&gt;0,Y$6&gt;=$D50,Y$6&lt;=$E50),1,IF(AND($F50&gt;0,Y$6=$F50),"◆",""))</f>
        <v/>
      </c>
      <c r="Z50" s="78" t="str">
        <f>IF(AND($D50&gt;0,Z$6&gt;=$D50,Z$6&lt;=$E50),1,IF(AND($F50&gt;0,Z$6=$F50),"◆",""))</f>
        <v/>
      </c>
      <c r="AA50" s="78" t="str">
        <f>IF(AND($D50&gt;0,AA$6&gt;=$D50,AA$6&lt;=$E50),1,IF(AND($F50&gt;0,AA$6=$F50),"◆",""))</f>
        <v/>
      </c>
      <c r="AB50" s="78" t="str">
        <f>IF(AND($D50&gt;0,AB$6&gt;=$D50,AB$6&lt;=$E50),1,IF(AND($F50&gt;0,AB$6=$F50),"◆",""))</f>
        <v/>
      </c>
      <c r="AC50" s="78" t="str">
        <f>IF(AND($D50&gt;0,AC$6&gt;=$D50,AC$6&lt;=$E50),1,IF(AND($F50&gt;0,AC$6=$F50),"◆",""))</f>
        <v/>
      </c>
      <c r="AD50" s="78" t="str">
        <f>IF(AND($D50&gt;0,AD$6&gt;=$D50,AD$6&lt;=$E50),1,IF(AND($F50&gt;0,AD$6=$F50),"◆",""))</f>
        <v/>
      </c>
      <c r="AE50" s="78" t="str">
        <f>IF(AND($D50&gt;0,AE$6&gt;=$D50,AE$6&lt;=$E50),1,IF(AND($F50&gt;0,AE$6=$F50),"◆",""))</f>
        <v/>
      </c>
      <c r="AF50" s="78" t="str">
        <f>IF(AND($D50&gt;0,AF$6&gt;=$D50,AF$6&lt;=$E50),1,IF(AND($F50&gt;0,AF$6=$F50),"◆",""))</f>
        <v/>
      </c>
      <c r="AG50" s="78" t="str">
        <f>IF(AND($D50&gt;0,AG$6&gt;=$D50,AG$6&lt;=$E50),1,IF(AND($F50&gt;0,AG$6=$F50),"◆",""))</f>
        <v/>
      </c>
      <c r="AH50" s="78" t="str">
        <f>IF(AND($D50&gt;0,AH$6&gt;=$D50,AH$6&lt;=$E50),1,IF(AND($F50&gt;0,AH$6=$F50),"◆",""))</f>
        <v/>
      </c>
      <c r="AI50" s="78" t="str">
        <f>IF(AND($D50&gt;0,AI$6&gt;=$D50,AI$6&lt;=$E50),1,IF(AND($F50&gt;0,AI$6=$F50),"◆",""))</f>
        <v/>
      </c>
      <c r="AJ50" s="78" t="str">
        <f>IF(AND($D50&gt;0,AJ$6&gt;=$D50,AJ$6&lt;=$E50),1,IF(AND($F50&gt;0,AJ$6=$F50),"◆",""))</f>
        <v/>
      </c>
      <c r="AK50" s="78" t="str">
        <f>IF(AND($D50&gt;0,AK$6&gt;=$D50,AK$6&lt;=$E50),1,IF(AND($F50&gt;0,AK$6=$F50),"◆",""))</f>
        <v/>
      </c>
      <c r="AL50" s="78" t="str">
        <f>IF(AND($D50&gt;0,AL$6&gt;=$D50,AL$6&lt;=$E50),1,IF(AND($F50&gt;0,AL$6=$F50),"◆",""))</f>
        <v/>
      </c>
      <c r="AM50" s="78" t="str">
        <f>IF(AND($D50&gt;0,AM$6&gt;=$D50,AM$6&lt;=$E50),1,IF(AND($F50&gt;0,AM$6=$F50),"◆",""))</f>
        <v/>
      </c>
      <c r="AN50" s="78" t="str">
        <f>IF(AND($D50&gt;0,AN$6&gt;=$D50,AN$6&lt;=$E50),1,IF(AND($F50&gt;0,AN$6=$F50),"◆",""))</f>
        <v/>
      </c>
      <c r="AO50" s="78" t="str">
        <f>IF(AND($D50&gt;0,AO$6&gt;=$D50,AO$6&lt;=$E50),1,IF(AND($F50&gt;0,AO$6=$F50),"◆",""))</f>
        <v/>
      </c>
      <c r="AP50" s="78" t="str">
        <f>IF(AND($D50&gt;0,AP$6&gt;=$D50,AP$6&lt;=$E50),1,IF(AND($F50&gt;0,AP$6=$F50),"◆",""))</f>
        <v/>
      </c>
      <c r="AQ50" s="78" t="str">
        <f>IF(AND($D50&gt;0,AQ$6&gt;=$D50,AQ$6&lt;=$E50),1,IF(AND($F50&gt;0,AQ$6=$F50),"◆",""))</f>
        <v/>
      </c>
      <c r="AR50" s="78" t="str">
        <f>IF(AND($D50&gt;0,AR$6&gt;=$D50,AR$6&lt;=$E50),1,IF(AND($F50&gt;0,AR$6=$F50),"◆",""))</f>
        <v/>
      </c>
      <c r="AS50" s="78" t="str">
        <f>IF(AND($D50&gt;0,AS$6&gt;=$D50,AS$6&lt;=$E50),1,IF(AND($F50&gt;0,AS$6=$F50),"◆",""))</f>
        <v/>
      </c>
      <c r="AT50" s="78" t="str">
        <f>IF(AND($D50&gt;0,AT$6&gt;=$D50,AT$6&lt;=$E50),1,IF(AND($F50&gt;0,AT$6=$F50),"◆",""))</f>
        <v/>
      </c>
      <c r="AU50" s="78" t="str">
        <f>IF(AND($D50&gt;0,AU$6&gt;=$D50,AU$6&lt;=$E50),1,IF(AND($F50&gt;0,AU$6=$F50),"◆",""))</f>
        <v/>
      </c>
      <c r="AV50" s="78" t="str">
        <f>IF(AND($D50&gt;0,AV$6&gt;=$D50,AV$6&lt;=$E50),1,IF(AND($F50&gt;0,AV$6=$F50),"◆",""))</f>
        <v/>
      </c>
      <c r="AW50" s="78" t="str">
        <f>IF(AND($D50&gt;0,AW$6&gt;=$D50,AW$6&lt;=$E50),1,IF(AND($F50&gt;0,AW$6=$F50),"◆",""))</f>
        <v/>
      </c>
      <c r="AX50" s="78" t="str">
        <f>IF(AND($D50&gt;0,AX$6&gt;=$D50,AX$6&lt;=$E50),1,IF(AND($F50&gt;0,AX$6=$F50),"◆",""))</f>
        <v/>
      </c>
      <c r="AY50" s="78" t="str">
        <f>IF(AND($D50&gt;0,AY$6&gt;=$D50,AY$6&lt;=$E50),1,IF(AND($F50&gt;0,AY$6=$F50),"◆",""))</f>
        <v/>
      </c>
      <c r="AZ50" s="78" t="str">
        <f>IF(AND($D50&gt;0,AZ$6&gt;=$D50,AZ$6&lt;=$E50),1,IF(AND($F50&gt;0,AZ$6=$F50),"◆",""))</f>
        <v/>
      </c>
      <c r="BA50" s="78" t="str">
        <f>IF(AND($D50&gt;0,BA$6&gt;=$D50,BA$6&lt;=$E50),1,IF(AND($F50&gt;0,BA$6=$F50),"◆",""))</f>
        <v/>
      </c>
      <c r="BB50" s="78" t="str">
        <f>IF(AND($D50&gt;0,BB$6&gt;=$D50,BB$6&lt;=$E50),1,IF(AND($F50&gt;0,BB$6=$F50),"◆",""))</f>
        <v/>
      </c>
      <c r="BC50" s="78" t="str">
        <f>IF(AND($D50&gt;0,BC$6&gt;=$D50,BC$6&lt;=$E50),1,IF(AND($F50&gt;0,BC$6=$F50),"◆",""))</f>
        <v/>
      </c>
      <c r="BD50" s="78" t="str">
        <f>IF(AND($D50&gt;0,BD$6&gt;=$D50,BD$6&lt;=$E50),1,IF(AND($F50&gt;0,BD$6=$F50),"◆",""))</f>
        <v/>
      </c>
      <c r="BE50" s="78" t="str">
        <f>IF(AND($D50&gt;0,BE$6&gt;=$D50,BE$6&lt;=$E50),1,IF(AND($F50&gt;0,BE$6=$F50),"◆",""))</f>
        <v/>
      </c>
      <c r="BF50" s="78" t="str">
        <f>IF(AND($D50&gt;0,BF$6&gt;=$D50,BF$6&lt;=$E50),1,IF(AND($F50&gt;0,BF$6=$F50),"◆",""))</f>
        <v/>
      </c>
      <c r="BG50" s="78" t="str">
        <f>IF(AND($D50&gt;0,BG$6&gt;=$D50,BG$6&lt;=$E50),1,IF(AND($F50&gt;0,BG$6=$F50),"◆",""))</f>
        <v/>
      </c>
      <c r="BH50" s="78" t="str">
        <f>IF(AND($D50&gt;0,BH$6&gt;=$D50,BH$6&lt;=$E50),1,IF(AND($F50&gt;0,BH$6=$F50),"◆",""))</f>
        <v/>
      </c>
      <c r="BI50" s="78" t="str">
        <f>IF(AND($D50&gt;0,BI$6&gt;=$D50,BI$6&lt;=$E50),1,IF(AND($F50&gt;0,BI$6=$F50),"◆",""))</f>
        <v/>
      </c>
      <c r="BJ50" s="78" t="str">
        <f>IF(AND($D50&gt;0,BJ$6&gt;=$D50,BJ$6&lt;=$E50),1,IF(AND($F50&gt;0,BJ$6=$F50),"◆",""))</f>
        <v/>
      </c>
      <c r="BK50" s="78" t="str">
        <f>IF(AND($D50&gt;0,BK$6&gt;=$D50,BK$6&lt;=$E50),1,IF(AND($F50&gt;0,BK$6=$F50),"◆",""))</f>
        <v/>
      </c>
      <c r="BL50" s="78" t="str">
        <f>IF(AND($D50&gt;0,BL$6&gt;=$D50,BL$6&lt;=$E50),1,IF(AND($F50&gt;0,BL$6=$F50),"◆",""))</f>
        <v/>
      </c>
      <c r="BM50" s="78" t="str">
        <f>IF(AND($D50&gt;0,BM$6&gt;=$D50,BM$6&lt;=$E50),1,IF(AND($F50&gt;0,BM$6=$F50),"◆",""))</f>
        <v/>
      </c>
      <c r="BN50" s="78" t="str">
        <f>IF(AND($D50&gt;0,BN$6&gt;=$D50,BN$6&lt;=$E50),1,IF(AND($F50&gt;0,BN$6=$F50),"◆",""))</f>
        <v/>
      </c>
      <c r="BO50" s="78" t="str">
        <f>IF(AND($D50&gt;0,BO$6&gt;=$D50,BO$6&lt;=$E50),1,IF(AND($F50&gt;0,BO$6=$F50),"◆",""))</f>
        <v/>
      </c>
      <c r="BP50" s="78" t="str">
        <f>IF(AND($D50&gt;0,BP$6&gt;=$D50,BP$6&lt;=$E50),1,IF(AND($F50&gt;0,BP$6=$F50),"◆",""))</f>
        <v/>
      </c>
    </row>
    <row r="51">
      <c r="A51" s="75" t="str">
        <f>IF(INDEX(of_ref,45)="","",INDEX(of_num,45)&amp;"")</f>
        <v/>
      </c>
      <c r="B51" s="75" t="str">
        <f>IF(INDEX(of_ref,45)="","",INDEX(of_des,45)&amp;"")</f>
        <v/>
      </c>
      <c r="C51" s="76" t="str">
        <f>IF(INDEX(of_ref,45)="","",INDEX(of_poste,45)&amp;"")</f>
        <v/>
      </c>
      <c r="D51" s="77">
        <f>INDEX(of_start,45)</f>
        <v>0.0</v>
      </c>
      <c r="E51" s="77">
        <f>INDEX(of_end,45)</f>
        <v>0.0</v>
      </c>
      <c r="F51" s="77">
        <f>IF(N(INDEX(of_need,45))=0,0,INDEX(of_need,45))</f>
        <v>0.0</v>
      </c>
      <c r="G51" s="76" t="str">
        <f>IF(INDEX(of_ref,45)="","",INDEX(of_etat,45)&amp;"")</f>
        <v/>
      </c>
      <c r="I51" s="78" t="str">
        <f>IF(AND($D51&gt;0,I$6&gt;=$D51,I$6&lt;=$E51),1,IF(AND($F51&gt;0,I$6=$F51),"◆",""))</f>
        <v/>
      </c>
      <c r="J51" s="78" t="str">
        <f>IF(AND($D51&gt;0,J$6&gt;=$D51,J$6&lt;=$E51),1,IF(AND($F51&gt;0,J$6=$F51),"◆",""))</f>
        <v/>
      </c>
      <c r="K51" s="78" t="str">
        <f>IF(AND($D51&gt;0,K$6&gt;=$D51,K$6&lt;=$E51),1,IF(AND($F51&gt;0,K$6=$F51),"◆",""))</f>
        <v/>
      </c>
      <c r="L51" s="78" t="str">
        <f>IF(AND($D51&gt;0,L$6&gt;=$D51,L$6&lt;=$E51),1,IF(AND($F51&gt;0,L$6=$F51),"◆",""))</f>
        <v/>
      </c>
      <c r="M51" s="78" t="str">
        <f>IF(AND($D51&gt;0,M$6&gt;=$D51,M$6&lt;=$E51),1,IF(AND($F51&gt;0,M$6=$F51),"◆",""))</f>
        <v/>
      </c>
      <c r="N51" s="78" t="str">
        <f>IF(AND($D51&gt;0,N$6&gt;=$D51,N$6&lt;=$E51),1,IF(AND($F51&gt;0,N$6=$F51),"◆",""))</f>
        <v/>
      </c>
      <c r="O51" s="78" t="str">
        <f>IF(AND($D51&gt;0,O$6&gt;=$D51,O$6&lt;=$E51),1,IF(AND($F51&gt;0,O$6=$F51),"◆",""))</f>
        <v/>
      </c>
      <c r="P51" s="78" t="str">
        <f>IF(AND($D51&gt;0,P$6&gt;=$D51,P$6&lt;=$E51),1,IF(AND($F51&gt;0,P$6=$F51),"◆",""))</f>
        <v/>
      </c>
      <c r="Q51" s="78" t="str">
        <f>IF(AND($D51&gt;0,Q$6&gt;=$D51,Q$6&lt;=$E51),1,IF(AND($F51&gt;0,Q$6=$F51),"◆",""))</f>
        <v/>
      </c>
      <c r="R51" s="78" t="str">
        <f>IF(AND($D51&gt;0,R$6&gt;=$D51,R$6&lt;=$E51),1,IF(AND($F51&gt;0,R$6=$F51),"◆",""))</f>
        <v/>
      </c>
      <c r="S51" s="78" t="str">
        <f>IF(AND($D51&gt;0,S$6&gt;=$D51,S$6&lt;=$E51),1,IF(AND($F51&gt;0,S$6=$F51),"◆",""))</f>
        <v/>
      </c>
      <c r="T51" s="78" t="str">
        <f>IF(AND($D51&gt;0,T$6&gt;=$D51,T$6&lt;=$E51),1,IF(AND($F51&gt;0,T$6=$F51),"◆",""))</f>
        <v/>
      </c>
      <c r="U51" s="78" t="str">
        <f>IF(AND($D51&gt;0,U$6&gt;=$D51,U$6&lt;=$E51),1,IF(AND($F51&gt;0,U$6=$F51),"◆",""))</f>
        <v/>
      </c>
      <c r="V51" s="78" t="str">
        <f>IF(AND($D51&gt;0,V$6&gt;=$D51,V$6&lt;=$E51),1,IF(AND($F51&gt;0,V$6=$F51),"◆",""))</f>
        <v/>
      </c>
      <c r="W51" s="78" t="str">
        <f>IF(AND($D51&gt;0,W$6&gt;=$D51,W$6&lt;=$E51),1,IF(AND($F51&gt;0,W$6=$F51),"◆",""))</f>
        <v/>
      </c>
      <c r="X51" s="78" t="str">
        <f>IF(AND($D51&gt;0,X$6&gt;=$D51,X$6&lt;=$E51),1,IF(AND($F51&gt;0,X$6=$F51),"◆",""))</f>
        <v/>
      </c>
      <c r="Y51" s="78" t="str">
        <f>IF(AND($D51&gt;0,Y$6&gt;=$D51,Y$6&lt;=$E51),1,IF(AND($F51&gt;0,Y$6=$F51),"◆",""))</f>
        <v/>
      </c>
      <c r="Z51" s="78" t="str">
        <f>IF(AND($D51&gt;0,Z$6&gt;=$D51,Z$6&lt;=$E51),1,IF(AND($F51&gt;0,Z$6=$F51),"◆",""))</f>
        <v/>
      </c>
      <c r="AA51" s="78" t="str">
        <f>IF(AND($D51&gt;0,AA$6&gt;=$D51,AA$6&lt;=$E51),1,IF(AND($F51&gt;0,AA$6=$F51),"◆",""))</f>
        <v/>
      </c>
      <c r="AB51" s="78" t="str">
        <f>IF(AND($D51&gt;0,AB$6&gt;=$D51,AB$6&lt;=$E51),1,IF(AND($F51&gt;0,AB$6=$F51),"◆",""))</f>
        <v/>
      </c>
      <c r="AC51" s="78" t="str">
        <f>IF(AND($D51&gt;0,AC$6&gt;=$D51,AC$6&lt;=$E51),1,IF(AND($F51&gt;0,AC$6=$F51),"◆",""))</f>
        <v/>
      </c>
      <c r="AD51" s="78" t="str">
        <f>IF(AND($D51&gt;0,AD$6&gt;=$D51,AD$6&lt;=$E51),1,IF(AND($F51&gt;0,AD$6=$F51),"◆",""))</f>
        <v/>
      </c>
      <c r="AE51" s="78" t="str">
        <f>IF(AND($D51&gt;0,AE$6&gt;=$D51,AE$6&lt;=$E51),1,IF(AND($F51&gt;0,AE$6=$F51),"◆",""))</f>
        <v/>
      </c>
      <c r="AF51" s="78" t="str">
        <f>IF(AND($D51&gt;0,AF$6&gt;=$D51,AF$6&lt;=$E51),1,IF(AND($F51&gt;0,AF$6=$F51),"◆",""))</f>
        <v/>
      </c>
      <c r="AG51" s="78" t="str">
        <f>IF(AND($D51&gt;0,AG$6&gt;=$D51,AG$6&lt;=$E51),1,IF(AND($F51&gt;0,AG$6=$F51),"◆",""))</f>
        <v/>
      </c>
      <c r="AH51" s="78" t="str">
        <f>IF(AND($D51&gt;0,AH$6&gt;=$D51,AH$6&lt;=$E51),1,IF(AND($F51&gt;0,AH$6=$F51),"◆",""))</f>
        <v/>
      </c>
      <c r="AI51" s="78" t="str">
        <f>IF(AND($D51&gt;0,AI$6&gt;=$D51,AI$6&lt;=$E51),1,IF(AND($F51&gt;0,AI$6=$F51),"◆",""))</f>
        <v/>
      </c>
      <c r="AJ51" s="78" t="str">
        <f>IF(AND($D51&gt;0,AJ$6&gt;=$D51,AJ$6&lt;=$E51),1,IF(AND($F51&gt;0,AJ$6=$F51),"◆",""))</f>
        <v/>
      </c>
      <c r="AK51" s="78" t="str">
        <f>IF(AND($D51&gt;0,AK$6&gt;=$D51,AK$6&lt;=$E51),1,IF(AND($F51&gt;0,AK$6=$F51),"◆",""))</f>
        <v/>
      </c>
      <c r="AL51" s="78" t="str">
        <f>IF(AND($D51&gt;0,AL$6&gt;=$D51,AL$6&lt;=$E51),1,IF(AND($F51&gt;0,AL$6=$F51),"◆",""))</f>
        <v/>
      </c>
      <c r="AM51" s="78" t="str">
        <f>IF(AND($D51&gt;0,AM$6&gt;=$D51,AM$6&lt;=$E51),1,IF(AND($F51&gt;0,AM$6=$F51),"◆",""))</f>
        <v/>
      </c>
      <c r="AN51" s="78" t="str">
        <f>IF(AND($D51&gt;0,AN$6&gt;=$D51,AN$6&lt;=$E51),1,IF(AND($F51&gt;0,AN$6=$F51),"◆",""))</f>
        <v/>
      </c>
      <c r="AO51" s="78" t="str">
        <f>IF(AND($D51&gt;0,AO$6&gt;=$D51,AO$6&lt;=$E51),1,IF(AND($F51&gt;0,AO$6=$F51),"◆",""))</f>
        <v/>
      </c>
      <c r="AP51" s="78" t="str">
        <f>IF(AND($D51&gt;0,AP$6&gt;=$D51,AP$6&lt;=$E51),1,IF(AND($F51&gt;0,AP$6=$F51),"◆",""))</f>
        <v/>
      </c>
      <c r="AQ51" s="78" t="str">
        <f>IF(AND($D51&gt;0,AQ$6&gt;=$D51,AQ$6&lt;=$E51),1,IF(AND($F51&gt;0,AQ$6=$F51),"◆",""))</f>
        <v/>
      </c>
      <c r="AR51" s="78" t="str">
        <f>IF(AND($D51&gt;0,AR$6&gt;=$D51,AR$6&lt;=$E51),1,IF(AND($F51&gt;0,AR$6=$F51),"◆",""))</f>
        <v/>
      </c>
      <c r="AS51" s="78" t="str">
        <f>IF(AND($D51&gt;0,AS$6&gt;=$D51,AS$6&lt;=$E51),1,IF(AND($F51&gt;0,AS$6=$F51),"◆",""))</f>
        <v/>
      </c>
      <c r="AT51" s="78" t="str">
        <f>IF(AND($D51&gt;0,AT$6&gt;=$D51,AT$6&lt;=$E51),1,IF(AND($F51&gt;0,AT$6=$F51),"◆",""))</f>
        <v/>
      </c>
      <c r="AU51" s="78" t="str">
        <f>IF(AND($D51&gt;0,AU$6&gt;=$D51,AU$6&lt;=$E51),1,IF(AND($F51&gt;0,AU$6=$F51),"◆",""))</f>
        <v/>
      </c>
      <c r="AV51" s="78" t="str">
        <f>IF(AND($D51&gt;0,AV$6&gt;=$D51,AV$6&lt;=$E51),1,IF(AND($F51&gt;0,AV$6=$F51),"◆",""))</f>
        <v/>
      </c>
      <c r="AW51" s="78" t="str">
        <f>IF(AND($D51&gt;0,AW$6&gt;=$D51,AW$6&lt;=$E51),1,IF(AND($F51&gt;0,AW$6=$F51),"◆",""))</f>
        <v/>
      </c>
      <c r="AX51" s="78" t="str">
        <f>IF(AND($D51&gt;0,AX$6&gt;=$D51,AX$6&lt;=$E51),1,IF(AND($F51&gt;0,AX$6=$F51),"◆",""))</f>
        <v/>
      </c>
      <c r="AY51" s="78" t="str">
        <f>IF(AND($D51&gt;0,AY$6&gt;=$D51,AY$6&lt;=$E51),1,IF(AND($F51&gt;0,AY$6=$F51),"◆",""))</f>
        <v/>
      </c>
      <c r="AZ51" s="78" t="str">
        <f>IF(AND($D51&gt;0,AZ$6&gt;=$D51,AZ$6&lt;=$E51),1,IF(AND($F51&gt;0,AZ$6=$F51),"◆",""))</f>
        <v/>
      </c>
      <c r="BA51" s="78" t="str">
        <f>IF(AND($D51&gt;0,BA$6&gt;=$D51,BA$6&lt;=$E51),1,IF(AND($F51&gt;0,BA$6=$F51),"◆",""))</f>
        <v/>
      </c>
      <c r="BB51" s="78" t="str">
        <f>IF(AND($D51&gt;0,BB$6&gt;=$D51,BB$6&lt;=$E51),1,IF(AND($F51&gt;0,BB$6=$F51),"◆",""))</f>
        <v/>
      </c>
      <c r="BC51" s="78" t="str">
        <f>IF(AND($D51&gt;0,BC$6&gt;=$D51,BC$6&lt;=$E51),1,IF(AND($F51&gt;0,BC$6=$F51),"◆",""))</f>
        <v/>
      </c>
      <c r="BD51" s="78" t="str">
        <f>IF(AND($D51&gt;0,BD$6&gt;=$D51,BD$6&lt;=$E51),1,IF(AND($F51&gt;0,BD$6=$F51),"◆",""))</f>
        <v/>
      </c>
      <c r="BE51" s="78" t="str">
        <f>IF(AND($D51&gt;0,BE$6&gt;=$D51,BE$6&lt;=$E51),1,IF(AND($F51&gt;0,BE$6=$F51),"◆",""))</f>
        <v/>
      </c>
      <c r="BF51" s="78" t="str">
        <f>IF(AND($D51&gt;0,BF$6&gt;=$D51,BF$6&lt;=$E51),1,IF(AND($F51&gt;0,BF$6=$F51),"◆",""))</f>
        <v/>
      </c>
      <c r="BG51" s="78" t="str">
        <f>IF(AND($D51&gt;0,BG$6&gt;=$D51,BG$6&lt;=$E51),1,IF(AND($F51&gt;0,BG$6=$F51),"◆",""))</f>
        <v/>
      </c>
      <c r="BH51" s="78" t="str">
        <f>IF(AND($D51&gt;0,BH$6&gt;=$D51,BH$6&lt;=$E51),1,IF(AND($F51&gt;0,BH$6=$F51),"◆",""))</f>
        <v/>
      </c>
      <c r="BI51" s="78" t="str">
        <f>IF(AND($D51&gt;0,BI$6&gt;=$D51,BI$6&lt;=$E51),1,IF(AND($F51&gt;0,BI$6=$F51),"◆",""))</f>
        <v/>
      </c>
      <c r="BJ51" s="78" t="str">
        <f>IF(AND($D51&gt;0,BJ$6&gt;=$D51,BJ$6&lt;=$E51),1,IF(AND($F51&gt;0,BJ$6=$F51),"◆",""))</f>
        <v/>
      </c>
      <c r="BK51" s="78" t="str">
        <f>IF(AND($D51&gt;0,BK$6&gt;=$D51,BK$6&lt;=$E51),1,IF(AND($F51&gt;0,BK$6=$F51),"◆",""))</f>
        <v/>
      </c>
      <c r="BL51" s="78" t="str">
        <f>IF(AND($D51&gt;0,BL$6&gt;=$D51,BL$6&lt;=$E51),1,IF(AND($F51&gt;0,BL$6=$F51),"◆",""))</f>
        <v/>
      </c>
      <c r="BM51" s="78" t="str">
        <f>IF(AND($D51&gt;0,BM$6&gt;=$D51,BM$6&lt;=$E51),1,IF(AND($F51&gt;0,BM$6=$F51),"◆",""))</f>
        <v/>
      </c>
      <c r="BN51" s="78" t="str">
        <f>IF(AND($D51&gt;0,BN$6&gt;=$D51,BN$6&lt;=$E51),1,IF(AND($F51&gt;0,BN$6=$F51),"◆",""))</f>
        <v/>
      </c>
      <c r="BO51" s="78" t="str">
        <f>IF(AND($D51&gt;0,BO$6&gt;=$D51,BO$6&lt;=$E51),1,IF(AND($F51&gt;0,BO$6=$F51),"◆",""))</f>
        <v/>
      </c>
      <c r="BP51" s="78" t="str">
        <f>IF(AND($D51&gt;0,BP$6&gt;=$D51,BP$6&lt;=$E51),1,IF(AND($F51&gt;0,BP$6=$F51),"◆",""))</f>
        <v/>
      </c>
    </row>
    <row r="52">
      <c r="A52" s="75" t="str">
        <f>IF(INDEX(of_ref,46)="","",INDEX(of_num,46)&amp;"")</f>
        <v/>
      </c>
      <c r="B52" s="75" t="str">
        <f>IF(INDEX(of_ref,46)="","",INDEX(of_des,46)&amp;"")</f>
        <v/>
      </c>
      <c r="C52" s="76" t="str">
        <f>IF(INDEX(of_ref,46)="","",INDEX(of_poste,46)&amp;"")</f>
        <v/>
      </c>
      <c r="D52" s="77">
        <f>INDEX(of_start,46)</f>
        <v>0.0</v>
      </c>
      <c r="E52" s="77">
        <f>INDEX(of_end,46)</f>
        <v>0.0</v>
      </c>
      <c r="F52" s="77">
        <f>IF(N(INDEX(of_need,46))=0,0,INDEX(of_need,46))</f>
        <v>0.0</v>
      </c>
      <c r="G52" s="76" t="str">
        <f>IF(INDEX(of_ref,46)="","",INDEX(of_etat,46)&amp;"")</f>
        <v/>
      </c>
      <c r="I52" s="78" t="str">
        <f>IF(AND($D52&gt;0,I$6&gt;=$D52,I$6&lt;=$E52),1,IF(AND($F52&gt;0,I$6=$F52),"◆",""))</f>
        <v/>
      </c>
      <c r="J52" s="78" t="str">
        <f>IF(AND($D52&gt;0,J$6&gt;=$D52,J$6&lt;=$E52),1,IF(AND($F52&gt;0,J$6=$F52),"◆",""))</f>
        <v/>
      </c>
      <c r="K52" s="78" t="str">
        <f>IF(AND($D52&gt;0,K$6&gt;=$D52,K$6&lt;=$E52),1,IF(AND($F52&gt;0,K$6=$F52),"◆",""))</f>
        <v/>
      </c>
      <c r="L52" s="78" t="str">
        <f>IF(AND($D52&gt;0,L$6&gt;=$D52,L$6&lt;=$E52),1,IF(AND($F52&gt;0,L$6=$F52),"◆",""))</f>
        <v/>
      </c>
      <c r="M52" s="78" t="str">
        <f>IF(AND($D52&gt;0,M$6&gt;=$D52,M$6&lt;=$E52),1,IF(AND($F52&gt;0,M$6=$F52),"◆",""))</f>
        <v/>
      </c>
      <c r="N52" s="78" t="str">
        <f>IF(AND($D52&gt;0,N$6&gt;=$D52,N$6&lt;=$E52),1,IF(AND($F52&gt;0,N$6=$F52),"◆",""))</f>
        <v/>
      </c>
      <c r="O52" s="78" t="str">
        <f>IF(AND($D52&gt;0,O$6&gt;=$D52,O$6&lt;=$E52),1,IF(AND($F52&gt;0,O$6=$F52),"◆",""))</f>
        <v/>
      </c>
      <c r="P52" s="78" t="str">
        <f>IF(AND($D52&gt;0,P$6&gt;=$D52,P$6&lt;=$E52),1,IF(AND($F52&gt;0,P$6=$F52),"◆",""))</f>
        <v/>
      </c>
      <c r="Q52" s="78" t="str">
        <f>IF(AND($D52&gt;0,Q$6&gt;=$D52,Q$6&lt;=$E52),1,IF(AND($F52&gt;0,Q$6=$F52),"◆",""))</f>
        <v/>
      </c>
      <c r="R52" s="78" t="str">
        <f>IF(AND($D52&gt;0,R$6&gt;=$D52,R$6&lt;=$E52),1,IF(AND($F52&gt;0,R$6=$F52),"◆",""))</f>
        <v/>
      </c>
      <c r="S52" s="78" t="str">
        <f>IF(AND($D52&gt;0,S$6&gt;=$D52,S$6&lt;=$E52),1,IF(AND($F52&gt;0,S$6=$F52),"◆",""))</f>
        <v/>
      </c>
      <c r="T52" s="78" t="str">
        <f>IF(AND($D52&gt;0,T$6&gt;=$D52,T$6&lt;=$E52),1,IF(AND($F52&gt;0,T$6=$F52),"◆",""))</f>
        <v/>
      </c>
      <c r="U52" s="78" t="str">
        <f>IF(AND($D52&gt;0,U$6&gt;=$D52,U$6&lt;=$E52),1,IF(AND($F52&gt;0,U$6=$F52),"◆",""))</f>
        <v/>
      </c>
      <c r="V52" s="78" t="str">
        <f>IF(AND($D52&gt;0,V$6&gt;=$D52,V$6&lt;=$E52),1,IF(AND($F52&gt;0,V$6=$F52),"◆",""))</f>
        <v/>
      </c>
      <c r="W52" s="78" t="str">
        <f>IF(AND($D52&gt;0,W$6&gt;=$D52,W$6&lt;=$E52),1,IF(AND($F52&gt;0,W$6=$F52),"◆",""))</f>
        <v/>
      </c>
      <c r="X52" s="78" t="str">
        <f>IF(AND($D52&gt;0,X$6&gt;=$D52,X$6&lt;=$E52),1,IF(AND($F52&gt;0,X$6=$F52),"◆",""))</f>
        <v/>
      </c>
      <c r="Y52" s="78" t="str">
        <f>IF(AND($D52&gt;0,Y$6&gt;=$D52,Y$6&lt;=$E52),1,IF(AND($F52&gt;0,Y$6=$F52),"◆",""))</f>
        <v/>
      </c>
      <c r="Z52" s="78" t="str">
        <f>IF(AND($D52&gt;0,Z$6&gt;=$D52,Z$6&lt;=$E52),1,IF(AND($F52&gt;0,Z$6=$F52),"◆",""))</f>
        <v/>
      </c>
      <c r="AA52" s="78" t="str">
        <f>IF(AND($D52&gt;0,AA$6&gt;=$D52,AA$6&lt;=$E52),1,IF(AND($F52&gt;0,AA$6=$F52),"◆",""))</f>
        <v/>
      </c>
      <c r="AB52" s="78" t="str">
        <f>IF(AND($D52&gt;0,AB$6&gt;=$D52,AB$6&lt;=$E52),1,IF(AND($F52&gt;0,AB$6=$F52),"◆",""))</f>
        <v/>
      </c>
      <c r="AC52" s="78" t="str">
        <f>IF(AND($D52&gt;0,AC$6&gt;=$D52,AC$6&lt;=$E52),1,IF(AND($F52&gt;0,AC$6=$F52),"◆",""))</f>
        <v/>
      </c>
      <c r="AD52" s="78" t="str">
        <f>IF(AND($D52&gt;0,AD$6&gt;=$D52,AD$6&lt;=$E52),1,IF(AND($F52&gt;0,AD$6=$F52),"◆",""))</f>
        <v/>
      </c>
      <c r="AE52" s="78" t="str">
        <f>IF(AND($D52&gt;0,AE$6&gt;=$D52,AE$6&lt;=$E52),1,IF(AND($F52&gt;0,AE$6=$F52),"◆",""))</f>
        <v/>
      </c>
      <c r="AF52" s="78" t="str">
        <f>IF(AND($D52&gt;0,AF$6&gt;=$D52,AF$6&lt;=$E52),1,IF(AND($F52&gt;0,AF$6=$F52),"◆",""))</f>
        <v/>
      </c>
      <c r="AG52" s="78" t="str">
        <f>IF(AND($D52&gt;0,AG$6&gt;=$D52,AG$6&lt;=$E52),1,IF(AND($F52&gt;0,AG$6=$F52),"◆",""))</f>
        <v/>
      </c>
      <c r="AH52" s="78" t="str">
        <f>IF(AND($D52&gt;0,AH$6&gt;=$D52,AH$6&lt;=$E52),1,IF(AND($F52&gt;0,AH$6=$F52),"◆",""))</f>
        <v/>
      </c>
      <c r="AI52" s="78" t="str">
        <f>IF(AND($D52&gt;0,AI$6&gt;=$D52,AI$6&lt;=$E52),1,IF(AND($F52&gt;0,AI$6=$F52),"◆",""))</f>
        <v/>
      </c>
      <c r="AJ52" s="78" t="str">
        <f>IF(AND($D52&gt;0,AJ$6&gt;=$D52,AJ$6&lt;=$E52),1,IF(AND($F52&gt;0,AJ$6=$F52),"◆",""))</f>
        <v/>
      </c>
      <c r="AK52" s="78" t="str">
        <f>IF(AND($D52&gt;0,AK$6&gt;=$D52,AK$6&lt;=$E52),1,IF(AND($F52&gt;0,AK$6=$F52),"◆",""))</f>
        <v/>
      </c>
      <c r="AL52" s="78" t="str">
        <f>IF(AND($D52&gt;0,AL$6&gt;=$D52,AL$6&lt;=$E52),1,IF(AND($F52&gt;0,AL$6=$F52),"◆",""))</f>
        <v/>
      </c>
      <c r="AM52" s="78" t="str">
        <f>IF(AND($D52&gt;0,AM$6&gt;=$D52,AM$6&lt;=$E52),1,IF(AND($F52&gt;0,AM$6=$F52),"◆",""))</f>
        <v/>
      </c>
      <c r="AN52" s="78" t="str">
        <f>IF(AND($D52&gt;0,AN$6&gt;=$D52,AN$6&lt;=$E52),1,IF(AND($F52&gt;0,AN$6=$F52),"◆",""))</f>
        <v/>
      </c>
      <c r="AO52" s="78" t="str">
        <f>IF(AND($D52&gt;0,AO$6&gt;=$D52,AO$6&lt;=$E52),1,IF(AND($F52&gt;0,AO$6=$F52),"◆",""))</f>
        <v/>
      </c>
      <c r="AP52" s="78" t="str">
        <f>IF(AND($D52&gt;0,AP$6&gt;=$D52,AP$6&lt;=$E52),1,IF(AND($F52&gt;0,AP$6=$F52),"◆",""))</f>
        <v/>
      </c>
      <c r="AQ52" s="78" t="str">
        <f>IF(AND($D52&gt;0,AQ$6&gt;=$D52,AQ$6&lt;=$E52),1,IF(AND($F52&gt;0,AQ$6=$F52),"◆",""))</f>
        <v/>
      </c>
      <c r="AR52" s="78" t="str">
        <f>IF(AND($D52&gt;0,AR$6&gt;=$D52,AR$6&lt;=$E52),1,IF(AND($F52&gt;0,AR$6=$F52),"◆",""))</f>
        <v/>
      </c>
      <c r="AS52" s="78" t="str">
        <f>IF(AND($D52&gt;0,AS$6&gt;=$D52,AS$6&lt;=$E52),1,IF(AND($F52&gt;0,AS$6=$F52),"◆",""))</f>
        <v/>
      </c>
      <c r="AT52" s="78" t="str">
        <f>IF(AND($D52&gt;0,AT$6&gt;=$D52,AT$6&lt;=$E52),1,IF(AND($F52&gt;0,AT$6=$F52),"◆",""))</f>
        <v/>
      </c>
      <c r="AU52" s="78" t="str">
        <f>IF(AND($D52&gt;0,AU$6&gt;=$D52,AU$6&lt;=$E52),1,IF(AND($F52&gt;0,AU$6=$F52),"◆",""))</f>
        <v/>
      </c>
      <c r="AV52" s="78" t="str">
        <f>IF(AND($D52&gt;0,AV$6&gt;=$D52,AV$6&lt;=$E52),1,IF(AND($F52&gt;0,AV$6=$F52),"◆",""))</f>
        <v/>
      </c>
      <c r="AW52" s="78" t="str">
        <f>IF(AND($D52&gt;0,AW$6&gt;=$D52,AW$6&lt;=$E52),1,IF(AND($F52&gt;0,AW$6=$F52),"◆",""))</f>
        <v/>
      </c>
      <c r="AX52" s="78" t="str">
        <f>IF(AND($D52&gt;0,AX$6&gt;=$D52,AX$6&lt;=$E52),1,IF(AND($F52&gt;0,AX$6=$F52),"◆",""))</f>
        <v/>
      </c>
      <c r="AY52" s="78" t="str">
        <f>IF(AND($D52&gt;0,AY$6&gt;=$D52,AY$6&lt;=$E52),1,IF(AND($F52&gt;0,AY$6=$F52),"◆",""))</f>
        <v/>
      </c>
      <c r="AZ52" s="78" t="str">
        <f>IF(AND($D52&gt;0,AZ$6&gt;=$D52,AZ$6&lt;=$E52),1,IF(AND($F52&gt;0,AZ$6=$F52),"◆",""))</f>
        <v/>
      </c>
      <c r="BA52" s="78" t="str">
        <f>IF(AND($D52&gt;0,BA$6&gt;=$D52,BA$6&lt;=$E52),1,IF(AND($F52&gt;0,BA$6=$F52),"◆",""))</f>
        <v/>
      </c>
      <c r="BB52" s="78" t="str">
        <f>IF(AND($D52&gt;0,BB$6&gt;=$D52,BB$6&lt;=$E52),1,IF(AND($F52&gt;0,BB$6=$F52),"◆",""))</f>
        <v/>
      </c>
      <c r="BC52" s="78" t="str">
        <f>IF(AND($D52&gt;0,BC$6&gt;=$D52,BC$6&lt;=$E52),1,IF(AND($F52&gt;0,BC$6=$F52),"◆",""))</f>
        <v/>
      </c>
      <c r="BD52" s="78" t="str">
        <f>IF(AND($D52&gt;0,BD$6&gt;=$D52,BD$6&lt;=$E52),1,IF(AND($F52&gt;0,BD$6=$F52),"◆",""))</f>
        <v/>
      </c>
      <c r="BE52" s="78" t="str">
        <f>IF(AND($D52&gt;0,BE$6&gt;=$D52,BE$6&lt;=$E52),1,IF(AND($F52&gt;0,BE$6=$F52),"◆",""))</f>
        <v/>
      </c>
      <c r="BF52" s="78" t="str">
        <f>IF(AND($D52&gt;0,BF$6&gt;=$D52,BF$6&lt;=$E52),1,IF(AND($F52&gt;0,BF$6=$F52),"◆",""))</f>
        <v/>
      </c>
      <c r="BG52" s="78" t="str">
        <f>IF(AND($D52&gt;0,BG$6&gt;=$D52,BG$6&lt;=$E52),1,IF(AND($F52&gt;0,BG$6=$F52),"◆",""))</f>
        <v/>
      </c>
      <c r="BH52" s="78" t="str">
        <f>IF(AND($D52&gt;0,BH$6&gt;=$D52,BH$6&lt;=$E52),1,IF(AND($F52&gt;0,BH$6=$F52),"◆",""))</f>
        <v/>
      </c>
      <c r="BI52" s="78" t="str">
        <f>IF(AND($D52&gt;0,BI$6&gt;=$D52,BI$6&lt;=$E52),1,IF(AND($F52&gt;0,BI$6=$F52),"◆",""))</f>
        <v/>
      </c>
      <c r="BJ52" s="78" t="str">
        <f>IF(AND($D52&gt;0,BJ$6&gt;=$D52,BJ$6&lt;=$E52),1,IF(AND($F52&gt;0,BJ$6=$F52),"◆",""))</f>
        <v/>
      </c>
      <c r="BK52" s="78" t="str">
        <f>IF(AND($D52&gt;0,BK$6&gt;=$D52,BK$6&lt;=$E52),1,IF(AND($F52&gt;0,BK$6=$F52),"◆",""))</f>
        <v/>
      </c>
      <c r="BL52" s="78" t="str">
        <f>IF(AND($D52&gt;0,BL$6&gt;=$D52,BL$6&lt;=$E52),1,IF(AND($F52&gt;0,BL$6=$F52),"◆",""))</f>
        <v/>
      </c>
      <c r="BM52" s="78" t="str">
        <f>IF(AND($D52&gt;0,BM$6&gt;=$D52,BM$6&lt;=$E52),1,IF(AND($F52&gt;0,BM$6=$F52),"◆",""))</f>
        <v/>
      </c>
      <c r="BN52" s="78" t="str">
        <f>IF(AND($D52&gt;0,BN$6&gt;=$D52,BN$6&lt;=$E52),1,IF(AND($F52&gt;0,BN$6=$F52),"◆",""))</f>
        <v/>
      </c>
      <c r="BO52" s="78" t="str">
        <f>IF(AND($D52&gt;0,BO$6&gt;=$D52,BO$6&lt;=$E52),1,IF(AND($F52&gt;0,BO$6=$F52),"◆",""))</f>
        <v/>
      </c>
      <c r="BP52" s="78" t="str">
        <f>IF(AND($D52&gt;0,BP$6&gt;=$D52,BP$6&lt;=$E52),1,IF(AND($F52&gt;0,BP$6=$F52),"◆",""))</f>
        <v/>
      </c>
    </row>
    <row r="53">
      <c r="A53" s="75" t="str">
        <f>IF(INDEX(of_ref,47)="","",INDEX(of_num,47)&amp;"")</f>
        <v/>
      </c>
      <c r="B53" s="75" t="str">
        <f>IF(INDEX(of_ref,47)="","",INDEX(of_des,47)&amp;"")</f>
        <v/>
      </c>
      <c r="C53" s="76" t="str">
        <f>IF(INDEX(of_ref,47)="","",INDEX(of_poste,47)&amp;"")</f>
        <v/>
      </c>
      <c r="D53" s="77">
        <f>INDEX(of_start,47)</f>
        <v>0.0</v>
      </c>
      <c r="E53" s="77">
        <f>INDEX(of_end,47)</f>
        <v>0.0</v>
      </c>
      <c r="F53" s="77">
        <f>IF(N(INDEX(of_need,47))=0,0,INDEX(of_need,47))</f>
        <v>0.0</v>
      </c>
      <c r="G53" s="76" t="str">
        <f>IF(INDEX(of_ref,47)="","",INDEX(of_etat,47)&amp;"")</f>
        <v/>
      </c>
      <c r="I53" s="78" t="str">
        <f>IF(AND($D53&gt;0,I$6&gt;=$D53,I$6&lt;=$E53),1,IF(AND($F53&gt;0,I$6=$F53),"◆",""))</f>
        <v/>
      </c>
      <c r="J53" s="78" t="str">
        <f>IF(AND($D53&gt;0,J$6&gt;=$D53,J$6&lt;=$E53),1,IF(AND($F53&gt;0,J$6=$F53),"◆",""))</f>
        <v/>
      </c>
      <c r="K53" s="78" t="str">
        <f>IF(AND($D53&gt;0,K$6&gt;=$D53,K$6&lt;=$E53),1,IF(AND($F53&gt;0,K$6=$F53),"◆",""))</f>
        <v/>
      </c>
      <c r="L53" s="78" t="str">
        <f>IF(AND($D53&gt;0,L$6&gt;=$D53,L$6&lt;=$E53),1,IF(AND($F53&gt;0,L$6=$F53),"◆",""))</f>
        <v/>
      </c>
      <c r="M53" s="78" t="str">
        <f>IF(AND($D53&gt;0,M$6&gt;=$D53,M$6&lt;=$E53),1,IF(AND($F53&gt;0,M$6=$F53),"◆",""))</f>
        <v/>
      </c>
      <c r="N53" s="78" t="str">
        <f>IF(AND($D53&gt;0,N$6&gt;=$D53,N$6&lt;=$E53),1,IF(AND($F53&gt;0,N$6=$F53),"◆",""))</f>
        <v/>
      </c>
      <c r="O53" s="78" t="str">
        <f>IF(AND($D53&gt;0,O$6&gt;=$D53,O$6&lt;=$E53),1,IF(AND($F53&gt;0,O$6=$F53),"◆",""))</f>
        <v/>
      </c>
      <c r="P53" s="78" t="str">
        <f>IF(AND($D53&gt;0,P$6&gt;=$D53,P$6&lt;=$E53),1,IF(AND($F53&gt;0,P$6=$F53),"◆",""))</f>
        <v/>
      </c>
      <c r="Q53" s="78" t="str">
        <f>IF(AND($D53&gt;0,Q$6&gt;=$D53,Q$6&lt;=$E53),1,IF(AND($F53&gt;0,Q$6=$F53),"◆",""))</f>
        <v/>
      </c>
      <c r="R53" s="78" t="str">
        <f>IF(AND($D53&gt;0,R$6&gt;=$D53,R$6&lt;=$E53),1,IF(AND($F53&gt;0,R$6=$F53),"◆",""))</f>
        <v/>
      </c>
      <c r="S53" s="78" t="str">
        <f>IF(AND($D53&gt;0,S$6&gt;=$D53,S$6&lt;=$E53),1,IF(AND($F53&gt;0,S$6=$F53),"◆",""))</f>
        <v/>
      </c>
      <c r="T53" s="78" t="str">
        <f>IF(AND($D53&gt;0,T$6&gt;=$D53,T$6&lt;=$E53),1,IF(AND($F53&gt;0,T$6=$F53),"◆",""))</f>
        <v/>
      </c>
      <c r="U53" s="78" t="str">
        <f>IF(AND($D53&gt;0,U$6&gt;=$D53,U$6&lt;=$E53),1,IF(AND($F53&gt;0,U$6=$F53),"◆",""))</f>
        <v/>
      </c>
      <c r="V53" s="78" t="str">
        <f>IF(AND($D53&gt;0,V$6&gt;=$D53,V$6&lt;=$E53),1,IF(AND($F53&gt;0,V$6=$F53),"◆",""))</f>
        <v/>
      </c>
      <c r="W53" s="78" t="str">
        <f>IF(AND($D53&gt;0,W$6&gt;=$D53,W$6&lt;=$E53),1,IF(AND($F53&gt;0,W$6=$F53),"◆",""))</f>
        <v/>
      </c>
      <c r="X53" s="78" t="str">
        <f>IF(AND($D53&gt;0,X$6&gt;=$D53,X$6&lt;=$E53),1,IF(AND($F53&gt;0,X$6=$F53),"◆",""))</f>
        <v/>
      </c>
      <c r="Y53" s="78" t="str">
        <f>IF(AND($D53&gt;0,Y$6&gt;=$D53,Y$6&lt;=$E53),1,IF(AND($F53&gt;0,Y$6=$F53),"◆",""))</f>
        <v/>
      </c>
      <c r="Z53" s="78" t="str">
        <f>IF(AND($D53&gt;0,Z$6&gt;=$D53,Z$6&lt;=$E53),1,IF(AND($F53&gt;0,Z$6=$F53),"◆",""))</f>
        <v/>
      </c>
      <c r="AA53" s="78" t="str">
        <f>IF(AND($D53&gt;0,AA$6&gt;=$D53,AA$6&lt;=$E53),1,IF(AND($F53&gt;0,AA$6=$F53),"◆",""))</f>
        <v/>
      </c>
      <c r="AB53" s="78" t="str">
        <f>IF(AND($D53&gt;0,AB$6&gt;=$D53,AB$6&lt;=$E53),1,IF(AND($F53&gt;0,AB$6=$F53),"◆",""))</f>
        <v/>
      </c>
      <c r="AC53" s="78" t="str">
        <f>IF(AND($D53&gt;0,AC$6&gt;=$D53,AC$6&lt;=$E53),1,IF(AND($F53&gt;0,AC$6=$F53),"◆",""))</f>
        <v/>
      </c>
      <c r="AD53" s="78" t="str">
        <f>IF(AND($D53&gt;0,AD$6&gt;=$D53,AD$6&lt;=$E53),1,IF(AND($F53&gt;0,AD$6=$F53),"◆",""))</f>
        <v/>
      </c>
      <c r="AE53" s="78" t="str">
        <f>IF(AND($D53&gt;0,AE$6&gt;=$D53,AE$6&lt;=$E53),1,IF(AND($F53&gt;0,AE$6=$F53),"◆",""))</f>
        <v/>
      </c>
      <c r="AF53" s="78" t="str">
        <f>IF(AND($D53&gt;0,AF$6&gt;=$D53,AF$6&lt;=$E53),1,IF(AND($F53&gt;0,AF$6=$F53),"◆",""))</f>
        <v/>
      </c>
      <c r="AG53" s="78" t="str">
        <f>IF(AND($D53&gt;0,AG$6&gt;=$D53,AG$6&lt;=$E53),1,IF(AND($F53&gt;0,AG$6=$F53),"◆",""))</f>
        <v/>
      </c>
      <c r="AH53" s="78" t="str">
        <f>IF(AND($D53&gt;0,AH$6&gt;=$D53,AH$6&lt;=$E53),1,IF(AND($F53&gt;0,AH$6=$F53),"◆",""))</f>
        <v/>
      </c>
      <c r="AI53" s="78" t="str">
        <f>IF(AND($D53&gt;0,AI$6&gt;=$D53,AI$6&lt;=$E53),1,IF(AND($F53&gt;0,AI$6=$F53),"◆",""))</f>
        <v/>
      </c>
      <c r="AJ53" s="78" t="str">
        <f>IF(AND($D53&gt;0,AJ$6&gt;=$D53,AJ$6&lt;=$E53),1,IF(AND($F53&gt;0,AJ$6=$F53),"◆",""))</f>
        <v/>
      </c>
      <c r="AK53" s="78" t="str">
        <f>IF(AND($D53&gt;0,AK$6&gt;=$D53,AK$6&lt;=$E53),1,IF(AND($F53&gt;0,AK$6=$F53),"◆",""))</f>
        <v/>
      </c>
      <c r="AL53" s="78" t="str">
        <f>IF(AND($D53&gt;0,AL$6&gt;=$D53,AL$6&lt;=$E53),1,IF(AND($F53&gt;0,AL$6=$F53),"◆",""))</f>
        <v/>
      </c>
      <c r="AM53" s="78" t="str">
        <f>IF(AND($D53&gt;0,AM$6&gt;=$D53,AM$6&lt;=$E53),1,IF(AND($F53&gt;0,AM$6=$F53),"◆",""))</f>
        <v/>
      </c>
      <c r="AN53" s="78" t="str">
        <f>IF(AND($D53&gt;0,AN$6&gt;=$D53,AN$6&lt;=$E53),1,IF(AND($F53&gt;0,AN$6=$F53),"◆",""))</f>
        <v/>
      </c>
      <c r="AO53" s="78" t="str">
        <f>IF(AND($D53&gt;0,AO$6&gt;=$D53,AO$6&lt;=$E53),1,IF(AND($F53&gt;0,AO$6=$F53),"◆",""))</f>
        <v/>
      </c>
      <c r="AP53" s="78" t="str">
        <f>IF(AND($D53&gt;0,AP$6&gt;=$D53,AP$6&lt;=$E53),1,IF(AND($F53&gt;0,AP$6=$F53),"◆",""))</f>
        <v/>
      </c>
      <c r="AQ53" s="78" t="str">
        <f>IF(AND($D53&gt;0,AQ$6&gt;=$D53,AQ$6&lt;=$E53),1,IF(AND($F53&gt;0,AQ$6=$F53),"◆",""))</f>
        <v/>
      </c>
      <c r="AR53" s="78" t="str">
        <f>IF(AND($D53&gt;0,AR$6&gt;=$D53,AR$6&lt;=$E53),1,IF(AND($F53&gt;0,AR$6=$F53),"◆",""))</f>
        <v/>
      </c>
      <c r="AS53" s="78" t="str">
        <f>IF(AND($D53&gt;0,AS$6&gt;=$D53,AS$6&lt;=$E53),1,IF(AND($F53&gt;0,AS$6=$F53),"◆",""))</f>
        <v/>
      </c>
      <c r="AT53" s="78" t="str">
        <f>IF(AND($D53&gt;0,AT$6&gt;=$D53,AT$6&lt;=$E53),1,IF(AND($F53&gt;0,AT$6=$F53),"◆",""))</f>
        <v/>
      </c>
      <c r="AU53" s="78" t="str">
        <f>IF(AND($D53&gt;0,AU$6&gt;=$D53,AU$6&lt;=$E53),1,IF(AND($F53&gt;0,AU$6=$F53),"◆",""))</f>
        <v/>
      </c>
      <c r="AV53" s="78" t="str">
        <f>IF(AND($D53&gt;0,AV$6&gt;=$D53,AV$6&lt;=$E53),1,IF(AND($F53&gt;0,AV$6=$F53),"◆",""))</f>
        <v/>
      </c>
      <c r="AW53" s="78" t="str">
        <f>IF(AND($D53&gt;0,AW$6&gt;=$D53,AW$6&lt;=$E53),1,IF(AND($F53&gt;0,AW$6=$F53),"◆",""))</f>
        <v/>
      </c>
      <c r="AX53" s="78" t="str">
        <f>IF(AND($D53&gt;0,AX$6&gt;=$D53,AX$6&lt;=$E53),1,IF(AND($F53&gt;0,AX$6=$F53),"◆",""))</f>
        <v/>
      </c>
      <c r="AY53" s="78" t="str">
        <f>IF(AND($D53&gt;0,AY$6&gt;=$D53,AY$6&lt;=$E53),1,IF(AND($F53&gt;0,AY$6=$F53),"◆",""))</f>
        <v/>
      </c>
      <c r="AZ53" s="78" t="str">
        <f>IF(AND($D53&gt;0,AZ$6&gt;=$D53,AZ$6&lt;=$E53),1,IF(AND($F53&gt;0,AZ$6=$F53),"◆",""))</f>
        <v/>
      </c>
      <c r="BA53" s="78" t="str">
        <f>IF(AND($D53&gt;0,BA$6&gt;=$D53,BA$6&lt;=$E53),1,IF(AND($F53&gt;0,BA$6=$F53),"◆",""))</f>
        <v/>
      </c>
      <c r="BB53" s="78" t="str">
        <f>IF(AND($D53&gt;0,BB$6&gt;=$D53,BB$6&lt;=$E53),1,IF(AND($F53&gt;0,BB$6=$F53),"◆",""))</f>
        <v/>
      </c>
      <c r="BC53" s="78" t="str">
        <f>IF(AND($D53&gt;0,BC$6&gt;=$D53,BC$6&lt;=$E53),1,IF(AND($F53&gt;0,BC$6=$F53),"◆",""))</f>
        <v/>
      </c>
      <c r="BD53" s="78" t="str">
        <f>IF(AND($D53&gt;0,BD$6&gt;=$D53,BD$6&lt;=$E53),1,IF(AND($F53&gt;0,BD$6=$F53),"◆",""))</f>
        <v/>
      </c>
      <c r="BE53" s="78" t="str">
        <f>IF(AND($D53&gt;0,BE$6&gt;=$D53,BE$6&lt;=$E53),1,IF(AND($F53&gt;0,BE$6=$F53),"◆",""))</f>
        <v/>
      </c>
      <c r="BF53" s="78" t="str">
        <f>IF(AND($D53&gt;0,BF$6&gt;=$D53,BF$6&lt;=$E53),1,IF(AND($F53&gt;0,BF$6=$F53),"◆",""))</f>
        <v/>
      </c>
      <c r="BG53" s="78" t="str">
        <f>IF(AND($D53&gt;0,BG$6&gt;=$D53,BG$6&lt;=$E53),1,IF(AND($F53&gt;0,BG$6=$F53),"◆",""))</f>
        <v/>
      </c>
      <c r="BH53" s="78" t="str">
        <f>IF(AND($D53&gt;0,BH$6&gt;=$D53,BH$6&lt;=$E53),1,IF(AND($F53&gt;0,BH$6=$F53),"◆",""))</f>
        <v/>
      </c>
      <c r="BI53" s="78" t="str">
        <f>IF(AND($D53&gt;0,BI$6&gt;=$D53,BI$6&lt;=$E53),1,IF(AND($F53&gt;0,BI$6=$F53),"◆",""))</f>
        <v/>
      </c>
      <c r="BJ53" s="78" t="str">
        <f>IF(AND($D53&gt;0,BJ$6&gt;=$D53,BJ$6&lt;=$E53),1,IF(AND($F53&gt;0,BJ$6=$F53),"◆",""))</f>
        <v/>
      </c>
      <c r="BK53" s="78" t="str">
        <f>IF(AND($D53&gt;0,BK$6&gt;=$D53,BK$6&lt;=$E53),1,IF(AND($F53&gt;0,BK$6=$F53),"◆",""))</f>
        <v/>
      </c>
      <c r="BL53" s="78" t="str">
        <f>IF(AND($D53&gt;0,BL$6&gt;=$D53,BL$6&lt;=$E53),1,IF(AND($F53&gt;0,BL$6=$F53),"◆",""))</f>
        <v/>
      </c>
      <c r="BM53" s="78" t="str">
        <f>IF(AND($D53&gt;0,BM$6&gt;=$D53,BM$6&lt;=$E53),1,IF(AND($F53&gt;0,BM$6=$F53),"◆",""))</f>
        <v/>
      </c>
      <c r="BN53" s="78" t="str">
        <f>IF(AND($D53&gt;0,BN$6&gt;=$D53,BN$6&lt;=$E53),1,IF(AND($F53&gt;0,BN$6=$F53),"◆",""))</f>
        <v/>
      </c>
      <c r="BO53" s="78" t="str">
        <f>IF(AND($D53&gt;0,BO$6&gt;=$D53,BO$6&lt;=$E53),1,IF(AND($F53&gt;0,BO$6=$F53),"◆",""))</f>
        <v/>
      </c>
      <c r="BP53" s="78" t="str">
        <f>IF(AND($D53&gt;0,BP$6&gt;=$D53,BP$6&lt;=$E53),1,IF(AND($F53&gt;0,BP$6=$F53),"◆",""))</f>
        <v/>
      </c>
    </row>
    <row r="54">
      <c r="A54" s="75" t="str">
        <f>IF(INDEX(of_ref,48)="","",INDEX(of_num,48)&amp;"")</f>
        <v/>
      </c>
      <c r="B54" s="75" t="str">
        <f>IF(INDEX(of_ref,48)="","",INDEX(of_des,48)&amp;"")</f>
        <v/>
      </c>
      <c r="C54" s="76" t="str">
        <f>IF(INDEX(of_ref,48)="","",INDEX(of_poste,48)&amp;"")</f>
        <v/>
      </c>
      <c r="D54" s="77">
        <f>INDEX(of_start,48)</f>
        <v>0.0</v>
      </c>
      <c r="E54" s="77">
        <f>INDEX(of_end,48)</f>
        <v>0.0</v>
      </c>
      <c r="F54" s="77">
        <f>IF(N(INDEX(of_need,48))=0,0,INDEX(of_need,48))</f>
        <v>0.0</v>
      </c>
      <c r="G54" s="76" t="str">
        <f>IF(INDEX(of_ref,48)="","",INDEX(of_etat,48)&amp;"")</f>
        <v/>
      </c>
      <c r="I54" s="78" t="str">
        <f>IF(AND($D54&gt;0,I$6&gt;=$D54,I$6&lt;=$E54),1,IF(AND($F54&gt;0,I$6=$F54),"◆",""))</f>
        <v/>
      </c>
      <c r="J54" s="78" t="str">
        <f>IF(AND($D54&gt;0,J$6&gt;=$D54,J$6&lt;=$E54),1,IF(AND($F54&gt;0,J$6=$F54),"◆",""))</f>
        <v/>
      </c>
      <c r="K54" s="78" t="str">
        <f>IF(AND($D54&gt;0,K$6&gt;=$D54,K$6&lt;=$E54),1,IF(AND($F54&gt;0,K$6=$F54),"◆",""))</f>
        <v/>
      </c>
      <c r="L54" s="78" t="str">
        <f>IF(AND($D54&gt;0,L$6&gt;=$D54,L$6&lt;=$E54),1,IF(AND($F54&gt;0,L$6=$F54),"◆",""))</f>
        <v/>
      </c>
      <c r="M54" s="78" t="str">
        <f>IF(AND($D54&gt;0,M$6&gt;=$D54,M$6&lt;=$E54),1,IF(AND($F54&gt;0,M$6=$F54),"◆",""))</f>
        <v/>
      </c>
      <c r="N54" s="78" t="str">
        <f>IF(AND($D54&gt;0,N$6&gt;=$D54,N$6&lt;=$E54),1,IF(AND($F54&gt;0,N$6=$F54),"◆",""))</f>
        <v/>
      </c>
      <c r="O54" s="78" t="str">
        <f>IF(AND($D54&gt;0,O$6&gt;=$D54,O$6&lt;=$E54),1,IF(AND($F54&gt;0,O$6=$F54),"◆",""))</f>
        <v/>
      </c>
      <c r="P54" s="78" t="str">
        <f>IF(AND($D54&gt;0,P$6&gt;=$D54,P$6&lt;=$E54),1,IF(AND($F54&gt;0,P$6=$F54),"◆",""))</f>
        <v/>
      </c>
      <c r="Q54" s="78" t="str">
        <f>IF(AND($D54&gt;0,Q$6&gt;=$D54,Q$6&lt;=$E54),1,IF(AND($F54&gt;0,Q$6=$F54),"◆",""))</f>
        <v/>
      </c>
      <c r="R54" s="78" t="str">
        <f>IF(AND($D54&gt;0,R$6&gt;=$D54,R$6&lt;=$E54),1,IF(AND($F54&gt;0,R$6=$F54),"◆",""))</f>
        <v/>
      </c>
      <c r="S54" s="78" t="str">
        <f>IF(AND($D54&gt;0,S$6&gt;=$D54,S$6&lt;=$E54),1,IF(AND($F54&gt;0,S$6=$F54),"◆",""))</f>
        <v/>
      </c>
      <c r="T54" s="78" t="str">
        <f>IF(AND($D54&gt;0,T$6&gt;=$D54,T$6&lt;=$E54),1,IF(AND($F54&gt;0,T$6=$F54),"◆",""))</f>
        <v/>
      </c>
      <c r="U54" s="78" t="str">
        <f>IF(AND($D54&gt;0,U$6&gt;=$D54,U$6&lt;=$E54),1,IF(AND($F54&gt;0,U$6=$F54),"◆",""))</f>
        <v/>
      </c>
      <c r="V54" s="78" t="str">
        <f>IF(AND($D54&gt;0,V$6&gt;=$D54,V$6&lt;=$E54),1,IF(AND($F54&gt;0,V$6=$F54),"◆",""))</f>
        <v/>
      </c>
      <c r="W54" s="78" t="str">
        <f>IF(AND($D54&gt;0,W$6&gt;=$D54,W$6&lt;=$E54),1,IF(AND($F54&gt;0,W$6=$F54),"◆",""))</f>
        <v/>
      </c>
      <c r="X54" s="78" t="str">
        <f>IF(AND($D54&gt;0,X$6&gt;=$D54,X$6&lt;=$E54),1,IF(AND($F54&gt;0,X$6=$F54),"◆",""))</f>
        <v/>
      </c>
      <c r="Y54" s="78" t="str">
        <f>IF(AND($D54&gt;0,Y$6&gt;=$D54,Y$6&lt;=$E54),1,IF(AND($F54&gt;0,Y$6=$F54),"◆",""))</f>
        <v/>
      </c>
      <c r="Z54" s="78" t="str">
        <f>IF(AND($D54&gt;0,Z$6&gt;=$D54,Z$6&lt;=$E54),1,IF(AND($F54&gt;0,Z$6=$F54),"◆",""))</f>
        <v/>
      </c>
      <c r="AA54" s="78" t="str">
        <f>IF(AND($D54&gt;0,AA$6&gt;=$D54,AA$6&lt;=$E54),1,IF(AND($F54&gt;0,AA$6=$F54),"◆",""))</f>
        <v/>
      </c>
      <c r="AB54" s="78" t="str">
        <f>IF(AND($D54&gt;0,AB$6&gt;=$D54,AB$6&lt;=$E54),1,IF(AND($F54&gt;0,AB$6=$F54),"◆",""))</f>
        <v/>
      </c>
      <c r="AC54" s="78" t="str">
        <f>IF(AND($D54&gt;0,AC$6&gt;=$D54,AC$6&lt;=$E54),1,IF(AND($F54&gt;0,AC$6=$F54),"◆",""))</f>
        <v/>
      </c>
      <c r="AD54" s="78" t="str">
        <f>IF(AND($D54&gt;0,AD$6&gt;=$D54,AD$6&lt;=$E54),1,IF(AND($F54&gt;0,AD$6=$F54),"◆",""))</f>
        <v/>
      </c>
      <c r="AE54" s="78" t="str">
        <f>IF(AND($D54&gt;0,AE$6&gt;=$D54,AE$6&lt;=$E54),1,IF(AND($F54&gt;0,AE$6=$F54),"◆",""))</f>
        <v/>
      </c>
      <c r="AF54" s="78" t="str">
        <f>IF(AND($D54&gt;0,AF$6&gt;=$D54,AF$6&lt;=$E54),1,IF(AND($F54&gt;0,AF$6=$F54),"◆",""))</f>
        <v/>
      </c>
      <c r="AG54" s="78" t="str">
        <f>IF(AND($D54&gt;0,AG$6&gt;=$D54,AG$6&lt;=$E54),1,IF(AND($F54&gt;0,AG$6=$F54),"◆",""))</f>
        <v/>
      </c>
      <c r="AH54" s="78" t="str">
        <f>IF(AND($D54&gt;0,AH$6&gt;=$D54,AH$6&lt;=$E54),1,IF(AND($F54&gt;0,AH$6=$F54),"◆",""))</f>
        <v/>
      </c>
      <c r="AI54" s="78" t="str">
        <f>IF(AND($D54&gt;0,AI$6&gt;=$D54,AI$6&lt;=$E54),1,IF(AND($F54&gt;0,AI$6=$F54),"◆",""))</f>
        <v/>
      </c>
      <c r="AJ54" s="78" t="str">
        <f>IF(AND($D54&gt;0,AJ$6&gt;=$D54,AJ$6&lt;=$E54),1,IF(AND($F54&gt;0,AJ$6=$F54),"◆",""))</f>
        <v/>
      </c>
      <c r="AK54" s="78" t="str">
        <f>IF(AND($D54&gt;0,AK$6&gt;=$D54,AK$6&lt;=$E54),1,IF(AND($F54&gt;0,AK$6=$F54),"◆",""))</f>
        <v/>
      </c>
      <c r="AL54" s="78" t="str">
        <f>IF(AND($D54&gt;0,AL$6&gt;=$D54,AL$6&lt;=$E54),1,IF(AND($F54&gt;0,AL$6=$F54),"◆",""))</f>
        <v/>
      </c>
      <c r="AM54" s="78" t="str">
        <f>IF(AND($D54&gt;0,AM$6&gt;=$D54,AM$6&lt;=$E54),1,IF(AND($F54&gt;0,AM$6=$F54),"◆",""))</f>
        <v/>
      </c>
      <c r="AN54" s="78" t="str">
        <f>IF(AND($D54&gt;0,AN$6&gt;=$D54,AN$6&lt;=$E54),1,IF(AND($F54&gt;0,AN$6=$F54),"◆",""))</f>
        <v/>
      </c>
      <c r="AO54" s="78" t="str">
        <f>IF(AND($D54&gt;0,AO$6&gt;=$D54,AO$6&lt;=$E54),1,IF(AND($F54&gt;0,AO$6=$F54),"◆",""))</f>
        <v/>
      </c>
      <c r="AP54" s="78" t="str">
        <f>IF(AND($D54&gt;0,AP$6&gt;=$D54,AP$6&lt;=$E54),1,IF(AND($F54&gt;0,AP$6=$F54),"◆",""))</f>
        <v/>
      </c>
      <c r="AQ54" s="78" t="str">
        <f>IF(AND($D54&gt;0,AQ$6&gt;=$D54,AQ$6&lt;=$E54),1,IF(AND($F54&gt;0,AQ$6=$F54),"◆",""))</f>
        <v/>
      </c>
      <c r="AR54" s="78" t="str">
        <f>IF(AND($D54&gt;0,AR$6&gt;=$D54,AR$6&lt;=$E54),1,IF(AND($F54&gt;0,AR$6=$F54),"◆",""))</f>
        <v/>
      </c>
      <c r="AS54" s="78" t="str">
        <f>IF(AND($D54&gt;0,AS$6&gt;=$D54,AS$6&lt;=$E54),1,IF(AND($F54&gt;0,AS$6=$F54),"◆",""))</f>
        <v/>
      </c>
      <c r="AT54" s="78" t="str">
        <f>IF(AND($D54&gt;0,AT$6&gt;=$D54,AT$6&lt;=$E54),1,IF(AND($F54&gt;0,AT$6=$F54),"◆",""))</f>
        <v/>
      </c>
      <c r="AU54" s="78" t="str">
        <f>IF(AND($D54&gt;0,AU$6&gt;=$D54,AU$6&lt;=$E54),1,IF(AND($F54&gt;0,AU$6=$F54),"◆",""))</f>
        <v/>
      </c>
      <c r="AV54" s="78" t="str">
        <f>IF(AND($D54&gt;0,AV$6&gt;=$D54,AV$6&lt;=$E54),1,IF(AND($F54&gt;0,AV$6=$F54),"◆",""))</f>
        <v/>
      </c>
      <c r="AW54" s="78" t="str">
        <f>IF(AND($D54&gt;0,AW$6&gt;=$D54,AW$6&lt;=$E54),1,IF(AND($F54&gt;0,AW$6=$F54),"◆",""))</f>
        <v/>
      </c>
      <c r="AX54" s="78" t="str">
        <f>IF(AND($D54&gt;0,AX$6&gt;=$D54,AX$6&lt;=$E54),1,IF(AND($F54&gt;0,AX$6=$F54),"◆",""))</f>
        <v/>
      </c>
      <c r="AY54" s="78" t="str">
        <f>IF(AND($D54&gt;0,AY$6&gt;=$D54,AY$6&lt;=$E54),1,IF(AND($F54&gt;0,AY$6=$F54),"◆",""))</f>
        <v/>
      </c>
      <c r="AZ54" s="78" t="str">
        <f>IF(AND($D54&gt;0,AZ$6&gt;=$D54,AZ$6&lt;=$E54),1,IF(AND($F54&gt;0,AZ$6=$F54),"◆",""))</f>
        <v/>
      </c>
      <c r="BA54" s="78" t="str">
        <f>IF(AND($D54&gt;0,BA$6&gt;=$D54,BA$6&lt;=$E54),1,IF(AND($F54&gt;0,BA$6=$F54),"◆",""))</f>
        <v/>
      </c>
      <c r="BB54" s="78" t="str">
        <f>IF(AND($D54&gt;0,BB$6&gt;=$D54,BB$6&lt;=$E54),1,IF(AND($F54&gt;0,BB$6=$F54),"◆",""))</f>
        <v/>
      </c>
      <c r="BC54" s="78" t="str">
        <f>IF(AND($D54&gt;0,BC$6&gt;=$D54,BC$6&lt;=$E54),1,IF(AND($F54&gt;0,BC$6=$F54),"◆",""))</f>
        <v/>
      </c>
      <c r="BD54" s="78" t="str">
        <f>IF(AND($D54&gt;0,BD$6&gt;=$D54,BD$6&lt;=$E54),1,IF(AND($F54&gt;0,BD$6=$F54),"◆",""))</f>
        <v/>
      </c>
      <c r="BE54" s="78" t="str">
        <f>IF(AND($D54&gt;0,BE$6&gt;=$D54,BE$6&lt;=$E54),1,IF(AND($F54&gt;0,BE$6=$F54),"◆",""))</f>
        <v/>
      </c>
      <c r="BF54" s="78" t="str">
        <f>IF(AND($D54&gt;0,BF$6&gt;=$D54,BF$6&lt;=$E54),1,IF(AND($F54&gt;0,BF$6=$F54),"◆",""))</f>
        <v/>
      </c>
      <c r="BG54" s="78" t="str">
        <f>IF(AND($D54&gt;0,BG$6&gt;=$D54,BG$6&lt;=$E54),1,IF(AND($F54&gt;0,BG$6=$F54),"◆",""))</f>
        <v/>
      </c>
      <c r="BH54" s="78" t="str">
        <f>IF(AND($D54&gt;0,BH$6&gt;=$D54,BH$6&lt;=$E54),1,IF(AND($F54&gt;0,BH$6=$F54),"◆",""))</f>
        <v/>
      </c>
      <c r="BI54" s="78" t="str">
        <f>IF(AND($D54&gt;0,BI$6&gt;=$D54,BI$6&lt;=$E54),1,IF(AND($F54&gt;0,BI$6=$F54),"◆",""))</f>
        <v/>
      </c>
      <c r="BJ54" s="78" t="str">
        <f>IF(AND($D54&gt;0,BJ$6&gt;=$D54,BJ$6&lt;=$E54),1,IF(AND($F54&gt;0,BJ$6=$F54),"◆",""))</f>
        <v/>
      </c>
      <c r="BK54" s="78" t="str">
        <f>IF(AND($D54&gt;0,BK$6&gt;=$D54,BK$6&lt;=$E54),1,IF(AND($F54&gt;0,BK$6=$F54),"◆",""))</f>
        <v/>
      </c>
      <c r="BL54" s="78" t="str">
        <f>IF(AND($D54&gt;0,BL$6&gt;=$D54,BL$6&lt;=$E54),1,IF(AND($F54&gt;0,BL$6=$F54),"◆",""))</f>
        <v/>
      </c>
      <c r="BM54" s="78" t="str">
        <f>IF(AND($D54&gt;0,BM$6&gt;=$D54,BM$6&lt;=$E54),1,IF(AND($F54&gt;0,BM$6=$F54),"◆",""))</f>
        <v/>
      </c>
      <c r="BN54" s="78" t="str">
        <f>IF(AND($D54&gt;0,BN$6&gt;=$D54,BN$6&lt;=$E54),1,IF(AND($F54&gt;0,BN$6=$F54),"◆",""))</f>
        <v/>
      </c>
      <c r="BO54" s="78" t="str">
        <f>IF(AND($D54&gt;0,BO$6&gt;=$D54,BO$6&lt;=$E54),1,IF(AND($F54&gt;0,BO$6=$F54),"◆",""))</f>
        <v/>
      </c>
      <c r="BP54" s="78" t="str">
        <f>IF(AND($D54&gt;0,BP$6&gt;=$D54,BP$6&lt;=$E54),1,IF(AND($F54&gt;0,BP$6=$F54),"◆",""))</f>
        <v/>
      </c>
    </row>
    <row r="55">
      <c r="A55" s="75" t="str">
        <f>IF(INDEX(of_ref,49)="","",INDEX(of_num,49)&amp;"")</f>
        <v/>
      </c>
      <c r="B55" s="75" t="str">
        <f>IF(INDEX(of_ref,49)="","",INDEX(of_des,49)&amp;"")</f>
        <v/>
      </c>
      <c r="C55" s="76" t="str">
        <f>IF(INDEX(of_ref,49)="","",INDEX(of_poste,49)&amp;"")</f>
        <v/>
      </c>
      <c r="D55" s="77">
        <f>INDEX(of_start,49)</f>
        <v>0.0</v>
      </c>
      <c r="E55" s="77">
        <f>INDEX(of_end,49)</f>
        <v>0.0</v>
      </c>
      <c r="F55" s="77">
        <f>IF(N(INDEX(of_need,49))=0,0,INDEX(of_need,49))</f>
        <v>0.0</v>
      </c>
      <c r="G55" s="76" t="str">
        <f>IF(INDEX(of_ref,49)="","",INDEX(of_etat,49)&amp;"")</f>
        <v/>
      </c>
      <c r="I55" s="78" t="str">
        <f>IF(AND($D55&gt;0,I$6&gt;=$D55,I$6&lt;=$E55),1,IF(AND($F55&gt;0,I$6=$F55),"◆",""))</f>
        <v/>
      </c>
      <c r="J55" s="78" t="str">
        <f>IF(AND($D55&gt;0,J$6&gt;=$D55,J$6&lt;=$E55),1,IF(AND($F55&gt;0,J$6=$F55),"◆",""))</f>
        <v/>
      </c>
      <c r="K55" s="78" t="str">
        <f>IF(AND($D55&gt;0,K$6&gt;=$D55,K$6&lt;=$E55),1,IF(AND($F55&gt;0,K$6=$F55),"◆",""))</f>
        <v/>
      </c>
      <c r="L55" s="78" t="str">
        <f>IF(AND($D55&gt;0,L$6&gt;=$D55,L$6&lt;=$E55),1,IF(AND($F55&gt;0,L$6=$F55),"◆",""))</f>
        <v/>
      </c>
      <c r="M55" s="78" t="str">
        <f>IF(AND($D55&gt;0,M$6&gt;=$D55,M$6&lt;=$E55),1,IF(AND($F55&gt;0,M$6=$F55),"◆",""))</f>
        <v/>
      </c>
      <c r="N55" s="78" t="str">
        <f>IF(AND($D55&gt;0,N$6&gt;=$D55,N$6&lt;=$E55),1,IF(AND($F55&gt;0,N$6=$F55),"◆",""))</f>
        <v/>
      </c>
      <c r="O55" s="78" t="str">
        <f>IF(AND($D55&gt;0,O$6&gt;=$D55,O$6&lt;=$E55),1,IF(AND($F55&gt;0,O$6=$F55),"◆",""))</f>
        <v/>
      </c>
      <c r="P55" s="78" t="str">
        <f>IF(AND($D55&gt;0,P$6&gt;=$D55,P$6&lt;=$E55),1,IF(AND($F55&gt;0,P$6=$F55),"◆",""))</f>
        <v/>
      </c>
      <c r="Q55" s="78" t="str">
        <f>IF(AND($D55&gt;0,Q$6&gt;=$D55,Q$6&lt;=$E55),1,IF(AND($F55&gt;0,Q$6=$F55),"◆",""))</f>
        <v/>
      </c>
      <c r="R55" s="78" t="str">
        <f>IF(AND($D55&gt;0,R$6&gt;=$D55,R$6&lt;=$E55),1,IF(AND($F55&gt;0,R$6=$F55),"◆",""))</f>
        <v/>
      </c>
      <c r="S55" s="78" t="str">
        <f>IF(AND($D55&gt;0,S$6&gt;=$D55,S$6&lt;=$E55),1,IF(AND($F55&gt;0,S$6=$F55),"◆",""))</f>
        <v/>
      </c>
      <c r="T55" s="78" t="str">
        <f>IF(AND($D55&gt;0,T$6&gt;=$D55,T$6&lt;=$E55),1,IF(AND($F55&gt;0,T$6=$F55),"◆",""))</f>
        <v/>
      </c>
      <c r="U55" s="78" t="str">
        <f>IF(AND($D55&gt;0,U$6&gt;=$D55,U$6&lt;=$E55),1,IF(AND($F55&gt;0,U$6=$F55),"◆",""))</f>
        <v/>
      </c>
      <c r="V55" s="78" t="str">
        <f>IF(AND($D55&gt;0,V$6&gt;=$D55,V$6&lt;=$E55),1,IF(AND($F55&gt;0,V$6=$F55),"◆",""))</f>
        <v/>
      </c>
      <c r="W55" s="78" t="str">
        <f>IF(AND($D55&gt;0,W$6&gt;=$D55,W$6&lt;=$E55),1,IF(AND($F55&gt;0,W$6=$F55),"◆",""))</f>
        <v/>
      </c>
      <c r="X55" s="78" t="str">
        <f>IF(AND($D55&gt;0,X$6&gt;=$D55,X$6&lt;=$E55),1,IF(AND($F55&gt;0,X$6=$F55),"◆",""))</f>
        <v/>
      </c>
      <c r="Y55" s="78" t="str">
        <f>IF(AND($D55&gt;0,Y$6&gt;=$D55,Y$6&lt;=$E55),1,IF(AND($F55&gt;0,Y$6=$F55),"◆",""))</f>
        <v/>
      </c>
      <c r="Z55" s="78" t="str">
        <f>IF(AND($D55&gt;0,Z$6&gt;=$D55,Z$6&lt;=$E55),1,IF(AND($F55&gt;0,Z$6=$F55),"◆",""))</f>
        <v/>
      </c>
      <c r="AA55" s="78" t="str">
        <f>IF(AND($D55&gt;0,AA$6&gt;=$D55,AA$6&lt;=$E55),1,IF(AND($F55&gt;0,AA$6=$F55),"◆",""))</f>
        <v/>
      </c>
      <c r="AB55" s="78" t="str">
        <f>IF(AND($D55&gt;0,AB$6&gt;=$D55,AB$6&lt;=$E55),1,IF(AND($F55&gt;0,AB$6=$F55),"◆",""))</f>
        <v/>
      </c>
      <c r="AC55" s="78" t="str">
        <f>IF(AND($D55&gt;0,AC$6&gt;=$D55,AC$6&lt;=$E55),1,IF(AND($F55&gt;0,AC$6=$F55),"◆",""))</f>
        <v/>
      </c>
      <c r="AD55" s="78" t="str">
        <f>IF(AND($D55&gt;0,AD$6&gt;=$D55,AD$6&lt;=$E55),1,IF(AND($F55&gt;0,AD$6=$F55),"◆",""))</f>
        <v/>
      </c>
      <c r="AE55" s="78" t="str">
        <f>IF(AND($D55&gt;0,AE$6&gt;=$D55,AE$6&lt;=$E55),1,IF(AND($F55&gt;0,AE$6=$F55),"◆",""))</f>
        <v/>
      </c>
      <c r="AF55" s="78" t="str">
        <f>IF(AND($D55&gt;0,AF$6&gt;=$D55,AF$6&lt;=$E55),1,IF(AND($F55&gt;0,AF$6=$F55),"◆",""))</f>
        <v/>
      </c>
      <c r="AG55" s="78" t="str">
        <f>IF(AND($D55&gt;0,AG$6&gt;=$D55,AG$6&lt;=$E55),1,IF(AND($F55&gt;0,AG$6=$F55),"◆",""))</f>
        <v/>
      </c>
      <c r="AH55" s="78" t="str">
        <f>IF(AND($D55&gt;0,AH$6&gt;=$D55,AH$6&lt;=$E55),1,IF(AND($F55&gt;0,AH$6=$F55),"◆",""))</f>
        <v/>
      </c>
      <c r="AI55" s="78" t="str">
        <f>IF(AND($D55&gt;0,AI$6&gt;=$D55,AI$6&lt;=$E55),1,IF(AND($F55&gt;0,AI$6=$F55),"◆",""))</f>
        <v/>
      </c>
      <c r="AJ55" s="78" t="str">
        <f>IF(AND($D55&gt;0,AJ$6&gt;=$D55,AJ$6&lt;=$E55),1,IF(AND($F55&gt;0,AJ$6=$F55),"◆",""))</f>
        <v/>
      </c>
      <c r="AK55" s="78" t="str">
        <f>IF(AND($D55&gt;0,AK$6&gt;=$D55,AK$6&lt;=$E55),1,IF(AND($F55&gt;0,AK$6=$F55),"◆",""))</f>
        <v/>
      </c>
      <c r="AL55" s="78" t="str">
        <f>IF(AND($D55&gt;0,AL$6&gt;=$D55,AL$6&lt;=$E55),1,IF(AND($F55&gt;0,AL$6=$F55),"◆",""))</f>
        <v/>
      </c>
      <c r="AM55" s="78" t="str">
        <f>IF(AND($D55&gt;0,AM$6&gt;=$D55,AM$6&lt;=$E55),1,IF(AND($F55&gt;0,AM$6=$F55),"◆",""))</f>
        <v/>
      </c>
      <c r="AN55" s="78" t="str">
        <f>IF(AND($D55&gt;0,AN$6&gt;=$D55,AN$6&lt;=$E55),1,IF(AND($F55&gt;0,AN$6=$F55),"◆",""))</f>
        <v/>
      </c>
      <c r="AO55" s="78" t="str">
        <f>IF(AND($D55&gt;0,AO$6&gt;=$D55,AO$6&lt;=$E55),1,IF(AND($F55&gt;0,AO$6=$F55),"◆",""))</f>
        <v/>
      </c>
      <c r="AP55" s="78" t="str">
        <f>IF(AND($D55&gt;0,AP$6&gt;=$D55,AP$6&lt;=$E55),1,IF(AND($F55&gt;0,AP$6=$F55),"◆",""))</f>
        <v/>
      </c>
      <c r="AQ55" s="78" t="str">
        <f>IF(AND($D55&gt;0,AQ$6&gt;=$D55,AQ$6&lt;=$E55),1,IF(AND($F55&gt;0,AQ$6=$F55),"◆",""))</f>
        <v/>
      </c>
      <c r="AR55" s="78" t="str">
        <f>IF(AND($D55&gt;0,AR$6&gt;=$D55,AR$6&lt;=$E55),1,IF(AND($F55&gt;0,AR$6=$F55),"◆",""))</f>
        <v/>
      </c>
      <c r="AS55" s="78" t="str">
        <f>IF(AND($D55&gt;0,AS$6&gt;=$D55,AS$6&lt;=$E55),1,IF(AND($F55&gt;0,AS$6=$F55),"◆",""))</f>
        <v/>
      </c>
      <c r="AT55" s="78" t="str">
        <f>IF(AND($D55&gt;0,AT$6&gt;=$D55,AT$6&lt;=$E55),1,IF(AND($F55&gt;0,AT$6=$F55),"◆",""))</f>
        <v/>
      </c>
      <c r="AU55" s="78" t="str">
        <f>IF(AND($D55&gt;0,AU$6&gt;=$D55,AU$6&lt;=$E55),1,IF(AND($F55&gt;0,AU$6=$F55),"◆",""))</f>
        <v/>
      </c>
      <c r="AV55" s="78" t="str">
        <f>IF(AND($D55&gt;0,AV$6&gt;=$D55,AV$6&lt;=$E55),1,IF(AND($F55&gt;0,AV$6=$F55),"◆",""))</f>
        <v/>
      </c>
      <c r="AW55" s="78" t="str">
        <f>IF(AND($D55&gt;0,AW$6&gt;=$D55,AW$6&lt;=$E55),1,IF(AND($F55&gt;0,AW$6=$F55),"◆",""))</f>
        <v/>
      </c>
      <c r="AX55" s="78" t="str">
        <f>IF(AND($D55&gt;0,AX$6&gt;=$D55,AX$6&lt;=$E55),1,IF(AND($F55&gt;0,AX$6=$F55),"◆",""))</f>
        <v/>
      </c>
      <c r="AY55" s="78" t="str">
        <f>IF(AND($D55&gt;0,AY$6&gt;=$D55,AY$6&lt;=$E55),1,IF(AND($F55&gt;0,AY$6=$F55),"◆",""))</f>
        <v/>
      </c>
      <c r="AZ55" s="78" t="str">
        <f>IF(AND($D55&gt;0,AZ$6&gt;=$D55,AZ$6&lt;=$E55),1,IF(AND($F55&gt;0,AZ$6=$F55),"◆",""))</f>
        <v/>
      </c>
      <c r="BA55" s="78" t="str">
        <f>IF(AND($D55&gt;0,BA$6&gt;=$D55,BA$6&lt;=$E55),1,IF(AND($F55&gt;0,BA$6=$F55),"◆",""))</f>
        <v/>
      </c>
      <c r="BB55" s="78" t="str">
        <f>IF(AND($D55&gt;0,BB$6&gt;=$D55,BB$6&lt;=$E55),1,IF(AND($F55&gt;0,BB$6=$F55),"◆",""))</f>
        <v/>
      </c>
      <c r="BC55" s="78" t="str">
        <f>IF(AND($D55&gt;0,BC$6&gt;=$D55,BC$6&lt;=$E55),1,IF(AND($F55&gt;0,BC$6=$F55),"◆",""))</f>
        <v/>
      </c>
      <c r="BD55" s="78" t="str">
        <f>IF(AND($D55&gt;0,BD$6&gt;=$D55,BD$6&lt;=$E55),1,IF(AND($F55&gt;0,BD$6=$F55),"◆",""))</f>
        <v/>
      </c>
      <c r="BE55" s="78" t="str">
        <f>IF(AND($D55&gt;0,BE$6&gt;=$D55,BE$6&lt;=$E55),1,IF(AND($F55&gt;0,BE$6=$F55),"◆",""))</f>
        <v/>
      </c>
      <c r="BF55" s="78" t="str">
        <f>IF(AND($D55&gt;0,BF$6&gt;=$D55,BF$6&lt;=$E55),1,IF(AND($F55&gt;0,BF$6=$F55),"◆",""))</f>
        <v/>
      </c>
      <c r="BG55" s="78" t="str">
        <f>IF(AND($D55&gt;0,BG$6&gt;=$D55,BG$6&lt;=$E55),1,IF(AND($F55&gt;0,BG$6=$F55),"◆",""))</f>
        <v/>
      </c>
      <c r="BH55" s="78" t="str">
        <f>IF(AND($D55&gt;0,BH$6&gt;=$D55,BH$6&lt;=$E55),1,IF(AND($F55&gt;0,BH$6=$F55),"◆",""))</f>
        <v/>
      </c>
      <c r="BI55" s="78" t="str">
        <f>IF(AND($D55&gt;0,BI$6&gt;=$D55,BI$6&lt;=$E55),1,IF(AND($F55&gt;0,BI$6=$F55),"◆",""))</f>
        <v/>
      </c>
      <c r="BJ55" s="78" t="str">
        <f>IF(AND($D55&gt;0,BJ$6&gt;=$D55,BJ$6&lt;=$E55),1,IF(AND($F55&gt;0,BJ$6=$F55),"◆",""))</f>
        <v/>
      </c>
      <c r="BK55" s="78" t="str">
        <f>IF(AND($D55&gt;0,BK$6&gt;=$D55,BK$6&lt;=$E55),1,IF(AND($F55&gt;0,BK$6=$F55),"◆",""))</f>
        <v/>
      </c>
      <c r="BL55" s="78" t="str">
        <f>IF(AND($D55&gt;0,BL$6&gt;=$D55,BL$6&lt;=$E55),1,IF(AND($F55&gt;0,BL$6=$F55),"◆",""))</f>
        <v/>
      </c>
      <c r="BM55" s="78" t="str">
        <f>IF(AND($D55&gt;0,BM$6&gt;=$D55,BM$6&lt;=$E55),1,IF(AND($F55&gt;0,BM$6=$F55),"◆",""))</f>
        <v/>
      </c>
      <c r="BN55" s="78" t="str">
        <f>IF(AND($D55&gt;0,BN$6&gt;=$D55,BN$6&lt;=$E55),1,IF(AND($F55&gt;0,BN$6=$F55),"◆",""))</f>
        <v/>
      </c>
      <c r="BO55" s="78" t="str">
        <f>IF(AND($D55&gt;0,BO$6&gt;=$D55,BO$6&lt;=$E55),1,IF(AND($F55&gt;0,BO$6=$F55),"◆",""))</f>
        <v/>
      </c>
      <c r="BP55" s="78" t="str">
        <f>IF(AND($D55&gt;0,BP$6&gt;=$D55,BP$6&lt;=$E55),1,IF(AND($F55&gt;0,BP$6=$F55),"◆",""))</f>
        <v/>
      </c>
    </row>
    <row r="56">
      <c r="A56" s="75" t="str">
        <f>IF(INDEX(of_ref,50)="","",INDEX(of_num,50)&amp;"")</f>
        <v/>
      </c>
      <c r="B56" s="75" t="str">
        <f>IF(INDEX(of_ref,50)="","",INDEX(of_des,50)&amp;"")</f>
        <v/>
      </c>
      <c r="C56" s="76" t="str">
        <f>IF(INDEX(of_ref,50)="","",INDEX(of_poste,50)&amp;"")</f>
        <v/>
      </c>
      <c r="D56" s="77">
        <f>INDEX(of_start,50)</f>
        <v>0.0</v>
      </c>
      <c r="E56" s="77">
        <f>INDEX(of_end,50)</f>
        <v>0.0</v>
      </c>
      <c r="F56" s="77">
        <f>IF(N(INDEX(of_need,50))=0,0,INDEX(of_need,50))</f>
        <v>0.0</v>
      </c>
      <c r="G56" s="76" t="str">
        <f>IF(INDEX(of_ref,50)="","",INDEX(of_etat,50)&amp;"")</f>
        <v/>
      </c>
      <c r="I56" s="78" t="str">
        <f>IF(AND($D56&gt;0,I$6&gt;=$D56,I$6&lt;=$E56),1,IF(AND($F56&gt;0,I$6=$F56),"◆",""))</f>
        <v/>
      </c>
      <c r="J56" s="78" t="str">
        <f>IF(AND($D56&gt;0,J$6&gt;=$D56,J$6&lt;=$E56),1,IF(AND($F56&gt;0,J$6=$F56),"◆",""))</f>
        <v/>
      </c>
      <c r="K56" s="78" t="str">
        <f>IF(AND($D56&gt;0,K$6&gt;=$D56,K$6&lt;=$E56),1,IF(AND($F56&gt;0,K$6=$F56),"◆",""))</f>
        <v/>
      </c>
      <c r="L56" s="78" t="str">
        <f>IF(AND($D56&gt;0,L$6&gt;=$D56,L$6&lt;=$E56),1,IF(AND($F56&gt;0,L$6=$F56),"◆",""))</f>
        <v/>
      </c>
      <c r="M56" s="78" t="str">
        <f>IF(AND($D56&gt;0,M$6&gt;=$D56,M$6&lt;=$E56),1,IF(AND($F56&gt;0,M$6=$F56),"◆",""))</f>
        <v/>
      </c>
      <c r="N56" s="78" t="str">
        <f>IF(AND($D56&gt;0,N$6&gt;=$D56,N$6&lt;=$E56),1,IF(AND($F56&gt;0,N$6=$F56),"◆",""))</f>
        <v/>
      </c>
      <c r="O56" s="78" t="str">
        <f>IF(AND($D56&gt;0,O$6&gt;=$D56,O$6&lt;=$E56),1,IF(AND($F56&gt;0,O$6=$F56),"◆",""))</f>
        <v/>
      </c>
      <c r="P56" s="78" t="str">
        <f>IF(AND($D56&gt;0,P$6&gt;=$D56,P$6&lt;=$E56),1,IF(AND($F56&gt;0,P$6=$F56),"◆",""))</f>
        <v/>
      </c>
      <c r="Q56" s="78" t="str">
        <f>IF(AND($D56&gt;0,Q$6&gt;=$D56,Q$6&lt;=$E56),1,IF(AND($F56&gt;0,Q$6=$F56),"◆",""))</f>
        <v/>
      </c>
      <c r="R56" s="78" t="str">
        <f>IF(AND($D56&gt;0,R$6&gt;=$D56,R$6&lt;=$E56),1,IF(AND($F56&gt;0,R$6=$F56),"◆",""))</f>
        <v/>
      </c>
      <c r="S56" s="78" t="str">
        <f>IF(AND($D56&gt;0,S$6&gt;=$D56,S$6&lt;=$E56),1,IF(AND($F56&gt;0,S$6=$F56),"◆",""))</f>
        <v/>
      </c>
      <c r="T56" s="78" t="str">
        <f>IF(AND($D56&gt;0,T$6&gt;=$D56,T$6&lt;=$E56),1,IF(AND($F56&gt;0,T$6=$F56),"◆",""))</f>
        <v/>
      </c>
      <c r="U56" s="78" t="str">
        <f>IF(AND($D56&gt;0,U$6&gt;=$D56,U$6&lt;=$E56),1,IF(AND($F56&gt;0,U$6=$F56),"◆",""))</f>
        <v/>
      </c>
      <c r="V56" s="78" t="str">
        <f>IF(AND($D56&gt;0,V$6&gt;=$D56,V$6&lt;=$E56),1,IF(AND($F56&gt;0,V$6=$F56),"◆",""))</f>
        <v/>
      </c>
      <c r="W56" s="78" t="str">
        <f>IF(AND($D56&gt;0,W$6&gt;=$D56,W$6&lt;=$E56),1,IF(AND($F56&gt;0,W$6=$F56),"◆",""))</f>
        <v/>
      </c>
      <c r="X56" s="78" t="str">
        <f>IF(AND($D56&gt;0,X$6&gt;=$D56,X$6&lt;=$E56),1,IF(AND($F56&gt;0,X$6=$F56),"◆",""))</f>
        <v/>
      </c>
      <c r="Y56" s="78" t="str">
        <f>IF(AND($D56&gt;0,Y$6&gt;=$D56,Y$6&lt;=$E56),1,IF(AND($F56&gt;0,Y$6=$F56),"◆",""))</f>
        <v/>
      </c>
      <c r="Z56" s="78" t="str">
        <f>IF(AND($D56&gt;0,Z$6&gt;=$D56,Z$6&lt;=$E56),1,IF(AND($F56&gt;0,Z$6=$F56),"◆",""))</f>
        <v/>
      </c>
      <c r="AA56" s="78" t="str">
        <f>IF(AND($D56&gt;0,AA$6&gt;=$D56,AA$6&lt;=$E56),1,IF(AND($F56&gt;0,AA$6=$F56),"◆",""))</f>
        <v/>
      </c>
      <c r="AB56" s="78" t="str">
        <f>IF(AND($D56&gt;0,AB$6&gt;=$D56,AB$6&lt;=$E56),1,IF(AND($F56&gt;0,AB$6=$F56),"◆",""))</f>
        <v/>
      </c>
      <c r="AC56" s="78" t="str">
        <f>IF(AND($D56&gt;0,AC$6&gt;=$D56,AC$6&lt;=$E56),1,IF(AND($F56&gt;0,AC$6=$F56),"◆",""))</f>
        <v/>
      </c>
      <c r="AD56" s="78" t="str">
        <f>IF(AND($D56&gt;0,AD$6&gt;=$D56,AD$6&lt;=$E56),1,IF(AND($F56&gt;0,AD$6=$F56),"◆",""))</f>
        <v/>
      </c>
      <c r="AE56" s="78" t="str">
        <f>IF(AND($D56&gt;0,AE$6&gt;=$D56,AE$6&lt;=$E56),1,IF(AND($F56&gt;0,AE$6=$F56),"◆",""))</f>
        <v/>
      </c>
      <c r="AF56" s="78" t="str">
        <f>IF(AND($D56&gt;0,AF$6&gt;=$D56,AF$6&lt;=$E56),1,IF(AND($F56&gt;0,AF$6=$F56),"◆",""))</f>
        <v/>
      </c>
      <c r="AG56" s="78" t="str">
        <f>IF(AND($D56&gt;0,AG$6&gt;=$D56,AG$6&lt;=$E56),1,IF(AND($F56&gt;0,AG$6=$F56),"◆",""))</f>
        <v/>
      </c>
      <c r="AH56" s="78" t="str">
        <f>IF(AND($D56&gt;0,AH$6&gt;=$D56,AH$6&lt;=$E56),1,IF(AND($F56&gt;0,AH$6=$F56),"◆",""))</f>
        <v/>
      </c>
      <c r="AI56" s="78" t="str">
        <f>IF(AND($D56&gt;0,AI$6&gt;=$D56,AI$6&lt;=$E56),1,IF(AND($F56&gt;0,AI$6=$F56),"◆",""))</f>
        <v/>
      </c>
      <c r="AJ56" s="78" t="str">
        <f>IF(AND($D56&gt;0,AJ$6&gt;=$D56,AJ$6&lt;=$E56),1,IF(AND($F56&gt;0,AJ$6=$F56),"◆",""))</f>
        <v/>
      </c>
      <c r="AK56" s="78" t="str">
        <f>IF(AND($D56&gt;0,AK$6&gt;=$D56,AK$6&lt;=$E56),1,IF(AND($F56&gt;0,AK$6=$F56),"◆",""))</f>
        <v/>
      </c>
      <c r="AL56" s="78" t="str">
        <f>IF(AND($D56&gt;0,AL$6&gt;=$D56,AL$6&lt;=$E56),1,IF(AND($F56&gt;0,AL$6=$F56),"◆",""))</f>
        <v/>
      </c>
      <c r="AM56" s="78" t="str">
        <f>IF(AND($D56&gt;0,AM$6&gt;=$D56,AM$6&lt;=$E56),1,IF(AND($F56&gt;0,AM$6=$F56),"◆",""))</f>
        <v/>
      </c>
      <c r="AN56" s="78" t="str">
        <f>IF(AND($D56&gt;0,AN$6&gt;=$D56,AN$6&lt;=$E56),1,IF(AND($F56&gt;0,AN$6=$F56),"◆",""))</f>
        <v/>
      </c>
      <c r="AO56" s="78" t="str">
        <f>IF(AND($D56&gt;0,AO$6&gt;=$D56,AO$6&lt;=$E56),1,IF(AND($F56&gt;0,AO$6=$F56),"◆",""))</f>
        <v/>
      </c>
      <c r="AP56" s="78" t="str">
        <f>IF(AND($D56&gt;0,AP$6&gt;=$D56,AP$6&lt;=$E56),1,IF(AND($F56&gt;0,AP$6=$F56),"◆",""))</f>
        <v/>
      </c>
      <c r="AQ56" s="78" t="str">
        <f>IF(AND($D56&gt;0,AQ$6&gt;=$D56,AQ$6&lt;=$E56),1,IF(AND($F56&gt;0,AQ$6=$F56),"◆",""))</f>
        <v/>
      </c>
      <c r="AR56" s="78" t="str">
        <f>IF(AND($D56&gt;0,AR$6&gt;=$D56,AR$6&lt;=$E56),1,IF(AND($F56&gt;0,AR$6=$F56),"◆",""))</f>
        <v/>
      </c>
      <c r="AS56" s="78" t="str">
        <f>IF(AND($D56&gt;0,AS$6&gt;=$D56,AS$6&lt;=$E56),1,IF(AND($F56&gt;0,AS$6=$F56),"◆",""))</f>
        <v/>
      </c>
      <c r="AT56" s="78" t="str">
        <f>IF(AND($D56&gt;0,AT$6&gt;=$D56,AT$6&lt;=$E56),1,IF(AND($F56&gt;0,AT$6=$F56),"◆",""))</f>
        <v/>
      </c>
      <c r="AU56" s="78" t="str">
        <f>IF(AND($D56&gt;0,AU$6&gt;=$D56,AU$6&lt;=$E56),1,IF(AND($F56&gt;0,AU$6=$F56),"◆",""))</f>
        <v/>
      </c>
      <c r="AV56" s="78" t="str">
        <f>IF(AND($D56&gt;0,AV$6&gt;=$D56,AV$6&lt;=$E56),1,IF(AND($F56&gt;0,AV$6=$F56),"◆",""))</f>
        <v/>
      </c>
      <c r="AW56" s="78" t="str">
        <f>IF(AND($D56&gt;0,AW$6&gt;=$D56,AW$6&lt;=$E56),1,IF(AND($F56&gt;0,AW$6=$F56),"◆",""))</f>
        <v/>
      </c>
      <c r="AX56" s="78" t="str">
        <f>IF(AND($D56&gt;0,AX$6&gt;=$D56,AX$6&lt;=$E56),1,IF(AND($F56&gt;0,AX$6=$F56),"◆",""))</f>
        <v/>
      </c>
      <c r="AY56" s="78" t="str">
        <f>IF(AND($D56&gt;0,AY$6&gt;=$D56,AY$6&lt;=$E56),1,IF(AND($F56&gt;0,AY$6=$F56),"◆",""))</f>
        <v/>
      </c>
      <c r="AZ56" s="78" t="str">
        <f>IF(AND($D56&gt;0,AZ$6&gt;=$D56,AZ$6&lt;=$E56),1,IF(AND($F56&gt;0,AZ$6=$F56),"◆",""))</f>
        <v/>
      </c>
      <c r="BA56" s="78" t="str">
        <f>IF(AND($D56&gt;0,BA$6&gt;=$D56,BA$6&lt;=$E56),1,IF(AND($F56&gt;0,BA$6=$F56),"◆",""))</f>
        <v/>
      </c>
      <c r="BB56" s="78" t="str">
        <f>IF(AND($D56&gt;0,BB$6&gt;=$D56,BB$6&lt;=$E56),1,IF(AND($F56&gt;0,BB$6=$F56),"◆",""))</f>
        <v/>
      </c>
      <c r="BC56" s="78" t="str">
        <f>IF(AND($D56&gt;0,BC$6&gt;=$D56,BC$6&lt;=$E56),1,IF(AND($F56&gt;0,BC$6=$F56),"◆",""))</f>
        <v/>
      </c>
      <c r="BD56" s="78" t="str">
        <f>IF(AND($D56&gt;0,BD$6&gt;=$D56,BD$6&lt;=$E56),1,IF(AND($F56&gt;0,BD$6=$F56),"◆",""))</f>
        <v/>
      </c>
      <c r="BE56" s="78" t="str">
        <f>IF(AND($D56&gt;0,BE$6&gt;=$D56,BE$6&lt;=$E56),1,IF(AND($F56&gt;0,BE$6=$F56),"◆",""))</f>
        <v/>
      </c>
      <c r="BF56" s="78" t="str">
        <f>IF(AND($D56&gt;0,BF$6&gt;=$D56,BF$6&lt;=$E56),1,IF(AND($F56&gt;0,BF$6=$F56),"◆",""))</f>
        <v/>
      </c>
      <c r="BG56" s="78" t="str">
        <f>IF(AND($D56&gt;0,BG$6&gt;=$D56,BG$6&lt;=$E56),1,IF(AND($F56&gt;0,BG$6=$F56),"◆",""))</f>
        <v/>
      </c>
      <c r="BH56" s="78" t="str">
        <f>IF(AND($D56&gt;0,BH$6&gt;=$D56,BH$6&lt;=$E56),1,IF(AND($F56&gt;0,BH$6=$F56),"◆",""))</f>
        <v/>
      </c>
      <c r="BI56" s="78" t="str">
        <f>IF(AND($D56&gt;0,BI$6&gt;=$D56,BI$6&lt;=$E56),1,IF(AND($F56&gt;0,BI$6=$F56),"◆",""))</f>
        <v/>
      </c>
      <c r="BJ56" s="78" t="str">
        <f>IF(AND($D56&gt;0,BJ$6&gt;=$D56,BJ$6&lt;=$E56),1,IF(AND($F56&gt;0,BJ$6=$F56),"◆",""))</f>
        <v/>
      </c>
      <c r="BK56" s="78" t="str">
        <f>IF(AND($D56&gt;0,BK$6&gt;=$D56,BK$6&lt;=$E56),1,IF(AND($F56&gt;0,BK$6=$F56),"◆",""))</f>
        <v/>
      </c>
      <c r="BL56" s="78" t="str">
        <f>IF(AND($D56&gt;0,BL$6&gt;=$D56,BL$6&lt;=$E56),1,IF(AND($F56&gt;0,BL$6=$F56),"◆",""))</f>
        <v/>
      </c>
      <c r="BM56" s="78" t="str">
        <f>IF(AND($D56&gt;0,BM$6&gt;=$D56,BM$6&lt;=$E56),1,IF(AND($F56&gt;0,BM$6=$F56),"◆",""))</f>
        <v/>
      </c>
      <c r="BN56" s="78" t="str">
        <f>IF(AND($D56&gt;0,BN$6&gt;=$D56,BN$6&lt;=$E56),1,IF(AND($F56&gt;0,BN$6=$F56),"◆",""))</f>
        <v/>
      </c>
      <c r="BO56" s="78" t="str">
        <f>IF(AND($D56&gt;0,BO$6&gt;=$D56,BO$6&lt;=$E56),1,IF(AND($F56&gt;0,BO$6=$F56),"◆",""))</f>
        <v/>
      </c>
      <c r="BP56" s="78" t="str">
        <f>IF(AND($D56&gt;0,BP$6&gt;=$D56,BP$6&lt;=$E56),1,IF(AND($F56&gt;0,BP$6=$F56),"◆",""))</f>
        <v/>
      </c>
    </row>
    <row r="57">
      <c r="A57" s="75" t="str">
        <f>IF(INDEX(of_ref,51)="","",INDEX(of_num,51)&amp;"")</f>
        <v/>
      </c>
      <c r="B57" s="75" t="str">
        <f>IF(INDEX(of_ref,51)="","",INDEX(of_des,51)&amp;"")</f>
        <v/>
      </c>
      <c r="C57" s="76" t="str">
        <f>IF(INDEX(of_ref,51)="","",INDEX(of_poste,51)&amp;"")</f>
        <v/>
      </c>
      <c r="D57" s="77">
        <f>INDEX(of_start,51)</f>
        <v>0.0</v>
      </c>
      <c r="E57" s="77">
        <f>INDEX(of_end,51)</f>
        <v>0.0</v>
      </c>
      <c r="F57" s="77">
        <f>IF(N(INDEX(of_need,51))=0,0,INDEX(of_need,51))</f>
        <v>0.0</v>
      </c>
      <c r="G57" s="76" t="str">
        <f>IF(INDEX(of_ref,51)="","",INDEX(of_etat,51)&amp;"")</f>
        <v/>
      </c>
      <c r="I57" s="78" t="str">
        <f>IF(AND($D57&gt;0,I$6&gt;=$D57,I$6&lt;=$E57),1,IF(AND($F57&gt;0,I$6=$F57),"◆",""))</f>
        <v/>
      </c>
      <c r="J57" s="78" t="str">
        <f>IF(AND($D57&gt;0,J$6&gt;=$D57,J$6&lt;=$E57),1,IF(AND($F57&gt;0,J$6=$F57),"◆",""))</f>
        <v/>
      </c>
      <c r="K57" s="78" t="str">
        <f>IF(AND($D57&gt;0,K$6&gt;=$D57,K$6&lt;=$E57),1,IF(AND($F57&gt;0,K$6=$F57),"◆",""))</f>
        <v/>
      </c>
      <c r="L57" s="78" t="str">
        <f>IF(AND($D57&gt;0,L$6&gt;=$D57,L$6&lt;=$E57),1,IF(AND($F57&gt;0,L$6=$F57),"◆",""))</f>
        <v/>
      </c>
      <c r="M57" s="78" t="str">
        <f>IF(AND($D57&gt;0,M$6&gt;=$D57,M$6&lt;=$E57),1,IF(AND($F57&gt;0,M$6=$F57),"◆",""))</f>
        <v/>
      </c>
      <c r="N57" s="78" t="str">
        <f>IF(AND($D57&gt;0,N$6&gt;=$D57,N$6&lt;=$E57),1,IF(AND($F57&gt;0,N$6=$F57),"◆",""))</f>
        <v/>
      </c>
      <c r="O57" s="78" t="str">
        <f>IF(AND($D57&gt;0,O$6&gt;=$D57,O$6&lt;=$E57),1,IF(AND($F57&gt;0,O$6=$F57),"◆",""))</f>
        <v/>
      </c>
      <c r="P57" s="78" t="str">
        <f>IF(AND($D57&gt;0,P$6&gt;=$D57,P$6&lt;=$E57),1,IF(AND($F57&gt;0,P$6=$F57),"◆",""))</f>
        <v/>
      </c>
      <c r="Q57" s="78" t="str">
        <f>IF(AND($D57&gt;0,Q$6&gt;=$D57,Q$6&lt;=$E57),1,IF(AND($F57&gt;0,Q$6=$F57),"◆",""))</f>
        <v/>
      </c>
      <c r="R57" s="78" t="str">
        <f>IF(AND($D57&gt;0,R$6&gt;=$D57,R$6&lt;=$E57),1,IF(AND($F57&gt;0,R$6=$F57),"◆",""))</f>
        <v/>
      </c>
      <c r="S57" s="78" t="str">
        <f>IF(AND($D57&gt;0,S$6&gt;=$D57,S$6&lt;=$E57),1,IF(AND($F57&gt;0,S$6=$F57),"◆",""))</f>
        <v/>
      </c>
      <c r="T57" s="78" t="str">
        <f>IF(AND($D57&gt;0,T$6&gt;=$D57,T$6&lt;=$E57),1,IF(AND($F57&gt;0,T$6=$F57),"◆",""))</f>
        <v/>
      </c>
      <c r="U57" s="78" t="str">
        <f>IF(AND($D57&gt;0,U$6&gt;=$D57,U$6&lt;=$E57),1,IF(AND($F57&gt;0,U$6=$F57),"◆",""))</f>
        <v/>
      </c>
      <c r="V57" s="78" t="str">
        <f>IF(AND($D57&gt;0,V$6&gt;=$D57,V$6&lt;=$E57),1,IF(AND($F57&gt;0,V$6=$F57),"◆",""))</f>
        <v/>
      </c>
      <c r="W57" s="78" t="str">
        <f>IF(AND($D57&gt;0,W$6&gt;=$D57,W$6&lt;=$E57),1,IF(AND($F57&gt;0,W$6=$F57),"◆",""))</f>
        <v/>
      </c>
      <c r="X57" s="78" t="str">
        <f>IF(AND($D57&gt;0,X$6&gt;=$D57,X$6&lt;=$E57),1,IF(AND($F57&gt;0,X$6=$F57),"◆",""))</f>
        <v/>
      </c>
      <c r="Y57" s="78" t="str">
        <f>IF(AND($D57&gt;0,Y$6&gt;=$D57,Y$6&lt;=$E57),1,IF(AND($F57&gt;0,Y$6=$F57),"◆",""))</f>
        <v/>
      </c>
      <c r="Z57" s="78" t="str">
        <f>IF(AND($D57&gt;0,Z$6&gt;=$D57,Z$6&lt;=$E57),1,IF(AND($F57&gt;0,Z$6=$F57),"◆",""))</f>
        <v/>
      </c>
      <c r="AA57" s="78" t="str">
        <f>IF(AND($D57&gt;0,AA$6&gt;=$D57,AA$6&lt;=$E57),1,IF(AND($F57&gt;0,AA$6=$F57),"◆",""))</f>
        <v/>
      </c>
      <c r="AB57" s="78" t="str">
        <f>IF(AND($D57&gt;0,AB$6&gt;=$D57,AB$6&lt;=$E57),1,IF(AND($F57&gt;0,AB$6=$F57),"◆",""))</f>
        <v/>
      </c>
      <c r="AC57" s="78" t="str">
        <f>IF(AND($D57&gt;0,AC$6&gt;=$D57,AC$6&lt;=$E57),1,IF(AND($F57&gt;0,AC$6=$F57),"◆",""))</f>
        <v/>
      </c>
      <c r="AD57" s="78" t="str">
        <f>IF(AND($D57&gt;0,AD$6&gt;=$D57,AD$6&lt;=$E57),1,IF(AND($F57&gt;0,AD$6=$F57),"◆",""))</f>
        <v/>
      </c>
      <c r="AE57" s="78" t="str">
        <f>IF(AND($D57&gt;0,AE$6&gt;=$D57,AE$6&lt;=$E57),1,IF(AND($F57&gt;0,AE$6=$F57),"◆",""))</f>
        <v/>
      </c>
      <c r="AF57" s="78" t="str">
        <f>IF(AND($D57&gt;0,AF$6&gt;=$D57,AF$6&lt;=$E57),1,IF(AND($F57&gt;0,AF$6=$F57),"◆",""))</f>
        <v/>
      </c>
      <c r="AG57" s="78" t="str">
        <f>IF(AND($D57&gt;0,AG$6&gt;=$D57,AG$6&lt;=$E57),1,IF(AND($F57&gt;0,AG$6=$F57),"◆",""))</f>
        <v/>
      </c>
      <c r="AH57" s="78" t="str">
        <f>IF(AND($D57&gt;0,AH$6&gt;=$D57,AH$6&lt;=$E57),1,IF(AND($F57&gt;0,AH$6=$F57),"◆",""))</f>
        <v/>
      </c>
      <c r="AI57" s="78" t="str">
        <f>IF(AND($D57&gt;0,AI$6&gt;=$D57,AI$6&lt;=$E57),1,IF(AND($F57&gt;0,AI$6=$F57),"◆",""))</f>
        <v/>
      </c>
      <c r="AJ57" s="78" t="str">
        <f>IF(AND($D57&gt;0,AJ$6&gt;=$D57,AJ$6&lt;=$E57),1,IF(AND($F57&gt;0,AJ$6=$F57),"◆",""))</f>
        <v/>
      </c>
      <c r="AK57" s="78" t="str">
        <f>IF(AND($D57&gt;0,AK$6&gt;=$D57,AK$6&lt;=$E57),1,IF(AND($F57&gt;0,AK$6=$F57),"◆",""))</f>
        <v/>
      </c>
      <c r="AL57" s="78" t="str">
        <f>IF(AND($D57&gt;0,AL$6&gt;=$D57,AL$6&lt;=$E57),1,IF(AND($F57&gt;0,AL$6=$F57),"◆",""))</f>
        <v/>
      </c>
      <c r="AM57" s="78" t="str">
        <f>IF(AND($D57&gt;0,AM$6&gt;=$D57,AM$6&lt;=$E57),1,IF(AND($F57&gt;0,AM$6=$F57),"◆",""))</f>
        <v/>
      </c>
      <c r="AN57" s="78" t="str">
        <f>IF(AND($D57&gt;0,AN$6&gt;=$D57,AN$6&lt;=$E57),1,IF(AND($F57&gt;0,AN$6=$F57),"◆",""))</f>
        <v/>
      </c>
      <c r="AO57" s="78" t="str">
        <f>IF(AND($D57&gt;0,AO$6&gt;=$D57,AO$6&lt;=$E57),1,IF(AND($F57&gt;0,AO$6=$F57),"◆",""))</f>
        <v/>
      </c>
      <c r="AP57" s="78" t="str">
        <f>IF(AND($D57&gt;0,AP$6&gt;=$D57,AP$6&lt;=$E57),1,IF(AND($F57&gt;0,AP$6=$F57),"◆",""))</f>
        <v/>
      </c>
      <c r="AQ57" s="78" t="str">
        <f>IF(AND($D57&gt;0,AQ$6&gt;=$D57,AQ$6&lt;=$E57),1,IF(AND($F57&gt;0,AQ$6=$F57),"◆",""))</f>
        <v/>
      </c>
      <c r="AR57" s="78" t="str">
        <f>IF(AND($D57&gt;0,AR$6&gt;=$D57,AR$6&lt;=$E57),1,IF(AND($F57&gt;0,AR$6=$F57),"◆",""))</f>
        <v/>
      </c>
      <c r="AS57" s="78" t="str">
        <f>IF(AND($D57&gt;0,AS$6&gt;=$D57,AS$6&lt;=$E57),1,IF(AND($F57&gt;0,AS$6=$F57),"◆",""))</f>
        <v/>
      </c>
      <c r="AT57" s="78" t="str">
        <f>IF(AND($D57&gt;0,AT$6&gt;=$D57,AT$6&lt;=$E57),1,IF(AND($F57&gt;0,AT$6=$F57),"◆",""))</f>
        <v/>
      </c>
      <c r="AU57" s="78" t="str">
        <f>IF(AND($D57&gt;0,AU$6&gt;=$D57,AU$6&lt;=$E57),1,IF(AND($F57&gt;0,AU$6=$F57),"◆",""))</f>
        <v/>
      </c>
      <c r="AV57" s="78" t="str">
        <f>IF(AND($D57&gt;0,AV$6&gt;=$D57,AV$6&lt;=$E57),1,IF(AND($F57&gt;0,AV$6=$F57),"◆",""))</f>
        <v/>
      </c>
      <c r="AW57" s="78" t="str">
        <f>IF(AND($D57&gt;0,AW$6&gt;=$D57,AW$6&lt;=$E57),1,IF(AND($F57&gt;0,AW$6=$F57),"◆",""))</f>
        <v/>
      </c>
      <c r="AX57" s="78" t="str">
        <f>IF(AND($D57&gt;0,AX$6&gt;=$D57,AX$6&lt;=$E57),1,IF(AND($F57&gt;0,AX$6=$F57),"◆",""))</f>
        <v/>
      </c>
      <c r="AY57" s="78" t="str">
        <f>IF(AND($D57&gt;0,AY$6&gt;=$D57,AY$6&lt;=$E57),1,IF(AND($F57&gt;0,AY$6=$F57),"◆",""))</f>
        <v/>
      </c>
      <c r="AZ57" s="78" t="str">
        <f>IF(AND($D57&gt;0,AZ$6&gt;=$D57,AZ$6&lt;=$E57),1,IF(AND($F57&gt;0,AZ$6=$F57),"◆",""))</f>
        <v/>
      </c>
      <c r="BA57" s="78" t="str">
        <f>IF(AND($D57&gt;0,BA$6&gt;=$D57,BA$6&lt;=$E57),1,IF(AND($F57&gt;0,BA$6=$F57),"◆",""))</f>
        <v/>
      </c>
      <c r="BB57" s="78" t="str">
        <f>IF(AND($D57&gt;0,BB$6&gt;=$D57,BB$6&lt;=$E57),1,IF(AND($F57&gt;0,BB$6=$F57),"◆",""))</f>
        <v/>
      </c>
      <c r="BC57" s="78" t="str">
        <f>IF(AND($D57&gt;0,BC$6&gt;=$D57,BC$6&lt;=$E57),1,IF(AND($F57&gt;0,BC$6=$F57),"◆",""))</f>
        <v/>
      </c>
      <c r="BD57" s="78" t="str">
        <f>IF(AND($D57&gt;0,BD$6&gt;=$D57,BD$6&lt;=$E57),1,IF(AND($F57&gt;0,BD$6=$F57),"◆",""))</f>
        <v/>
      </c>
      <c r="BE57" s="78" t="str">
        <f>IF(AND($D57&gt;0,BE$6&gt;=$D57,BE$6&lt;=$E57),1,IF(AND($F57&gt;0,BE$6=$F57),"◆",""))</f>
        <v/>
      </c>
      <c r="BF57" s="78" t="str">
        <f>IF(AND($D57&gt;0,BF$6&gt;=$D57,BF$6&lt;=$E57),1,IF(AND($F57&gt;0,BF$6=$F57),"◆",""))</f>
        <v/>
      </c>
      <c r="BG57" s="78" t="str">
        <f>IF(AND($D57&gt;0,BG$6&gt;=$D57,BG$6&lt;=$E57),1,IF(AND($F57&gt;0,BG$6=$F57),"◆",""))</f>
        <v/>
      </c>
      <c r="BH57" s="78" t="str">
        <f>IF(AND($D57&gt;0,BH$6&gt;=$D57,BH$6&lt;=$E57),1,IF(AND($F57&gt;0,BH$6=$F57),"◆",""))</f>
        <v/>
      </c>
      <c r="BI57" s="78" t="str">
        <f>IF(AND($D57&gt;0,BI$6&gt;=$D57,BI$6&lt;=$E57),1,IF(AND($F57&gt;0,BI$6=$F57),"◆",""))</f>
        <v/>
      </c>
      <c r="BJ57" s="78" t="str">
        <f>IF(AND($D57&gt;0,BJ$6&gt;=$D57,BJ$6&lt;=$E57),1,IF(AND($F57&gt;0,BJ$6=$F57),"◆",""))</f>
        <v/>
      </c>
      <c r="BK57" s="78" t="str">
        <f>IF(AND($D57&gt;0,BK$6&gt;=$D57,BK$6&lt;=$E57),1,IF(AND($F57&gt;0,BK$6=$F57),"◆",""))</f>
        <v/>
      </c>
      <c r="BL57" s="78" t="str">
        <f>IF(AND($D57&gt;0,BL$6&gt;=$D57,BL$6&lt;=$E57),1,IF(AND($F57&gt;0,BL$6=$F57),"◆",""))</f>
        <v/>
      </c>
      <c r="BM57" s="78" t="str">
        <f>IF(AND($D57&gt;0,BM$6&gt;=$D57,BM$6&lt;=$E57),1,IF(AND($F57&gt;0,BM$6=$F57),"◆",""))</f>
        <v/>
      </c>
      <c r="BN57" s="78" t="str">
        <f>IF(AND($D57&gt;0,BN$6&gt;=$D57,BN$6&lt;=$E57),1,IF(AND($F57&gt;0,BN$6=$F57),"◆",""))</f>
        <v/>
      </c>
      <c r="BO57" s="78" t="str">
        <f>IF(AND($D57&gt;0,BO$6&gt;=$D57,BO$6&lt;=$E57),1,IF(AND($F57&gt;0,BO$6=$F57),"◆",""))</f>
        <v/>
      </c>
      <c r="BP57" s="78" t="str">
        <f>IF(AND($D57&gt;0,BP$6&gt;=$D57,BP$6&lt;=$E57),1,IF(AND($F57&gt;0,BP$6=$F57),"◆",""))</f>
        <v/>
      </c>
    </row>
    <row r="58">
      <c r="A58" s="75" t="str">
        <f>IF(INDEX(of_ref,52)="","",INDEX(of_num,52)&amp;"")</f>
        <v/>
      </c>
      <c r="B58" s="75" t="str">
        <f>IF(INDEX(of_ref,52)="","",INDEX(of_des,52)&amp;"")</f>
        <v/>
      </c>
      <c r="C58" s="76" t="str">
        <f>IF(INDEX(of_ref,52)="","",INDEX(of_poste,52)&amp;"")</f>
        <v/>
      </c>
      <c r="D58" s="77">
        <f>INDEX(of_start,52)</f>
        <v>0.0</v>
      </c>
      <c r="E58" s="77">
        <f>INDEX(of_end,52)</f>
        <v>0.0</v>
      </c>
      <c r="F58" s="77">
        <f>IF(N(INDEX(of_need,52))=0,0,INDEX(of_need,52))</f>
        <v>0.0</v>
      </c>
      <c r="G58" s="76" t="str">
        <f>IF(INDEX(of_ref,52)="","",INDEX(of_etat,52)&amp;"")</f>
        <v/>
      </c>
      <c r="I58" s="78" t="str">
        <f>IF(AND($D58&gt;0,I$6&gt;=$D58,I$6&lt;=$E58),1,IF(AND($F58&gt;0,I$6=$F58),"◆",""))</f>
        <v/>
      </c>
      <c r="J58" s="78" t="str">
        <f>IF(AND($D58&gt;0,J$6&gt;=$D58,J$6&lt;=$E58),1,IF(AND($F58&gt;0,J$6=$F58),"◆",""))</f>
        <v/>
      </c>
      <c r="K58" s="78" t="str">
        <f>IF(AND($D58&gt;0,K$6&gt;=$D58,K$6&lt;=$E58),1,IF(AND($F58&gt;0,K$6=$F58),"◆",""))</f>
        <v/>
      </c>
      <c r="L58" s="78" t="str">
        <f>IF(AND($D58&gt;0,L$6&gt;=$D58,L$6&lt;=$E58),1,IF(AND($F58&gt;0,L$6=$F58),"◆",""))</f>
        <v/>
      </c>
      <c r="M58" s="78" t="str">
        <f>IF(AND($D58&gt;0,M$6&gt;=$D58,M$6&lt;=$E58),1,IF(AND($F58&gt;0,M$6=$F58),"◆",""))</f>
        <v/>
      </c>
      <c r="N58" s="78" t="str">
        <f>IF(AND($D58&gt;0,N$6&gt;=$D58,N$6&lt;=$E58),1,IF(AND($F58&gt;0,N$6=$F58),"◆",""))</f>
        <v/>
      </c>
      <c r="O58" s="78" t="str">
        <f>IF(AND($D58&gt;0,O$6&gt;=$D58,O$6&lt;=$E58),1,IF(AND($F58&gt;0,O$6=$F58),"◆",""))</f>
        <v/>
      </c>
      <c r="P58" s="78" t="str">
        <f>IF(AND($D58&gt;0,P$6&gt;=$D58,P$6&lt;=$E58),1,IF(AND($F58&gt;0,P$6=$F58),"◆",""))</f>
        <v/>
      </c>
      <c r="Q58" s="78" t="str">
        <f>IF(AND($D58&gt;0,Q$6&gt;=$D58,Q$6&lt;=$E58),1,IF(AND($F58&gt;0,Q$6=$F58),"◆",""))</f>
        <v/>
      </c>
      <c r="R58" s="78" t="str">
        <f>IF(AND($D58&gt;0,R$6&gt;=$D58,R$6&lt;=$E58),1,IF(AND($F58&gt;0,R$6=$F58),"◆",""))</f>
        <v/>
      </c>
      <c r="S58" s="78" t="str">
        <f>IF(AND($D58&gt;0,S$6&gt;=$D58,S$6&lt;=$E58),1,IF(AND($F58&gt;0,S$6=$F58),"◆",""))</f>
        <v/>
      </c>
      <c r="T58" s="78" t="str">
        <f>IF(AND($D58&gt;0,T$6&gt;=$D58,T$6&lt;=$E58),1,IF(AND($F58&gt;0,T$6=$F58),"◆",""))</f>
        <v/>
      </c>
      <c r="U58" s="78" t="str">
        <f>IF(AND($D58&gt;0,U$6&gt;=$D58,U$6&lt;=$E58),1,IF(AND($F58&gt;0,U$6=$F58),"◆",""))</f>
        <v/>
      </c>
      <c r="V58" s="78" t="str">
        <f>IF(AND($D58&gt;0,V$6&gt;=$D58,V$6&lt;=$E58),1,IF(AND($F58&gt;0,V$6=$F58),"◆",""))</f>
        <v/>
      </c>
      <c r="W58" s="78" t="str">
        <f>IF(AND($D58&gt;0,W$6&gt;=$D58,W$6&lt;=$E58),1,IF(AND($F58&gt;0,W$6=$F58),"◆",""))</f>
        <v/>
      </c>
      <c r="X58" s="78" t="str">
        <f>IF(AND($D58&gt;0,X$6&gt;=$D58,X$6&lt;=$E58),1,IF(AND($F58&gt;0,X$6=$F58),"◆",""))</f>
        <v/>
      </c>
      <c r="Y58" s="78" t="str">
        <f>IF(AND($D58&gt;0,Y$6&gt;=$D58,Y$6&lt;=$E58),1,IF(AND($F58&gt;0,Y$6=$F58),"◆",""))</f>
        <v/>
      </c>
      <c r="Z58" s="78" t="str">
        <f>IF(AND($D58&gt;0,Z$6&gt;=$D58,Z$6&lt;=$E58),1,IF(AND($F58&gt;0,Z$6=$F58),"◆",""))</f>
        <v/>
      </c>
      <c r="AA58" s="78" t="str">
        <f>IF(AND($D58&gt;0,AA$6&gt;=$D58,AA$6&lt;=$E58),1,IF(AND($F58&gt;0,AA$6=$F58),"◆",""))</f>
        <v/>
      </c>
      <c r="AB58" s="78" t="str">
        <f>IF(AND($D58&gt;0,AB$6&gt;=$D58,AB$6&lt;=$E58),1,IF(AND($F58&gt;0,AB$6=$F58),"◆",""))</f>
        <v/>
      </c>
      <c r="AC58" s="78" t="str">
        <f>IF(AND($D58&gt;0,AC$6&gt;=$D58,AC$6&lt;=$E58),1,IF(AND($F58&gt;0,AC$6=$F58),"◆",""))</f>
        <v/>
      </c>
      <c r="AD58" s="78" t="str">
        <f>IF(AND($D58&gt;0,AD$6&gt;=$D58,AD$6&lt;=$E58),1,IF(AND($F58&gt;0,AD$6=$F58),"◆",""))</f>
        <v/>
      </c>
      <c r="AE58" s="78" t="str">
        <f>IF(AND($D58&gt;0,AE$6&gt;=$D58,AE$6&lt;=$E58),1,IF(AND($F58&gt;0,AE$6=$F58),"◆",""))</f>
        <v/>
      </c>
      <c r="AF58" s="78" t="str">
        <f>IF(AND($D58&gt;0,AF$6&gt;=$D58,AF$6&lt;=$E58),1,IF(AND($F58&gt;0,AF$6=$F58),"◆",""))</f>
        <v/>
      </c>
      <c r="AG58" s="78" t="str">
        <f>IF(AND($D58&gt;0,AG$6&gt;=$D58,AG$6&lt;=$E58),1,IF(AND($F58&gt;0,AG$6=$F58),"◆",""))</f>
        <v/>
      </c>
      <c r="AH58" s="78" t="str">
        <f>IF(AND($D58&gt;0,AH$6&gt;=$D58,AH$6&lt;=$E58),1,IF(AND($F58&gt;0,AH$6=$F58),"◆",""))</f>
        <v/>
      </c>
      <c r="AI58" s="78" t="str">
        <f>IF(AND($D58&gt;0,AI$6&gt;=$D58,AI$6&lt;=$E58),1,IF(AND($F58&gt;0,AI$6=$F58),"◆",""))</f>
        <v/>
      </c>
      <c r="AJ58" s="78" t="str">
        <f>IF(AND($D58&gt;0,AJ$6&gt;=$D58,AJ$6&lt;=$E58),1,IF(AND($F58&gt;0,AJ$6=$F58),"◆",""))</f>
        <v/>
      </c>
      <c r="AK58" s="78" t="str">
        <f>IF(AND($D58&gt;0,AK$6&gt;=$D58,AK$6&lt;=$E58),1,IF(AND($F58&gt;0,AK$6=$F58),"◆",""))</f>
        <v/>
      </c>
      <c r="AL58" s="78" t="str">
        <f>IF(AND($D58&gt;0,AL$6&gt;=$D58,AL$6&lt;=$E58),1,IF(AND($F58&gt;0,AL$6=$F58),"◆",""))</f>
        <v/>
      </c>
      <c r="AM58" s="78" t="str">
        <f>IF(AND($D58&gt;0,AM$6&gt;=$D58,AM$6&lt;=$E58),1,IF(AND($F58&gt;0,AM$6=$F58),"◆",""))</f>
        <v/>
      </c>
      <c r="AN58" s="78" t="str">
        <f>IF(AND($D58&gt;0,AN$6&gt;=$D58,AN$6&lt;=$E58),1,IF(AND($F58&gt;0,AN$6=$F58),"◆",""))</f>
        <v/>
      </c>
      <c r="AO58" s="78" t="str">
        <f>IF(AND($D58&gt;0,AO$6&gt;=$D58,AO$6&lt;=$E58),1,IF(AND($F58&gt;0,AO$6=$F58),"◆",""))</f>
        <v/>
      </c>
      <c r="AP58" s="78" t="str">
        <f>IF(AND($D58&gt;0,AP$6&gt;=$D58,AP$6&lt;=$E58),1,IF(AND($F58&gt;0,AP$6=$F58),"◆",""))</f>
        <v/>
      </c>
      <c r="AQ58" s="78" t="str">
        <f>IF(AND($D58&gt;0,AQ$6&gt;=$D58,AQ$6&lt;=$E58),1,IF(AND($F58&gt;0,AQ$6=$F58),"◆",""))</f>
        <v/>
      </c>
      <c r="AR58" s="78" t="str">
        <f>IF(AND($D58&gt;0,AR$6&gt;=$D58,AR$6&lt;=$E58),1,IF(AND($F58&gt;0,AR$6=$F58),"◆",""))</f>
        <v/>
      </c>
      <c r="AS58" s="78" t="str">
        <f>IF(AND($D58&gt;0,AS$6&gt;=$D58,AS$6&lt;=$E58),1,IF(AND($F58&gt;0,AS$6=$F58),"◆",""))</f>
        <v/>
      </c>
      <c r="AT58" s="78" t="str">
        <f>IF(AND($D58&gt;0,AT$6&gt;=$D58,AT$6&lt;=$E58),1,IF(AND($F58&gt;0,AT$6=$F58),"◆",""))</f>
        <v/>
      </c>
      <c r="AU58" s="78" t="str">
        <f>IF(AND($D58&gt;0,AU$6&gt;=$D58,AU$6&lt;=$E58),1,IF(AND($F58&gt;0,AU$6=$F58),"◆",""))</f>
        <v/>
      </c>
      <c r="AV58" s="78" t="str">
        <f>IF(AND($D58&gt;0,AV$6&gt;=$D58,AV$6&lt;=$E58),1,IF(AND($F58&gt;0,AV$6=$F58),"◆",""))</f>
        <v/>
      </c>
      <c r="AW58" s="78" t="str">
        <f>IF(AND($D58&gt;0,AW$6&gt;=$D58,AW$6&lt;=$E58),1,IF(AND($F58&gt;0,AW$6=$F58),"◆",""))</f>
        <v/>
      </c>
      <c r="AX58" s="78" t="str">
        <f>IF(AND($D58&gt;0,AX$6&gt;=$D58,AX$6&lt;=$E58),1,IF(AND($F58&gt;0,AX$6=$F58),"◆",""))</f>
        <v/>
      </c>
      <c r="AY58" s="78" t="str">
        <f>IF(AND($D58&gt;0,AY$6&gt;=$D58,AY$6&lt;=$E58),1,IF(AND($F58&gt;0,AY$6=$F58),"◆",""))</f>
        <v/>
      </c>
      <c r="AZ58" s="78" t="str">
        <f>IF(AND($D58&gt;0,AZ$6&gt;=$D58,AZ$6&lt;=$E58),1,IF(AND($F58&gt;0,AZ$6=$F58),"◆",""))</f>
        <v/>
      </c>
      <c r="BA58" s="78" t="str">
        <f>IF(AND($D58&gt;0,BA$6&gt;=$D58,BA$6&lt;=$E58),1,IF(AND($F58&gt;0,BA$6=$F58),"◆",""))</f>
        <v/>
      </c>
      <c r="BB58" s="78" t="str">
        <f>IF(AND($D58&gt;0,BB$6&gt;=$D58,BB$6&lt;=$E58),1,IF(AND($F58&gt;0,BB$6=$F58),"◆",""))</f>
        <v/>
      </c>
      <c r="BC58" s="78" t="str">
        <f>IF(AND($D58&gt;0,BC$6&gt;=$D58,BC$6&lt;=$E58),1,IF(AND($F58&gt;0,BC$6=$F58),"◆",""))</f>
        <v/>
      </c>
      <c r="BD58" s="78" t="str">
        <f>IF(AND($D58&gt;0,BD$6&gt;=$D58,BD$6&lt;=$E58),1,IF(AND($F58&gt;0,BD$6=$F58),"◆",""))</f>
        <v/>
      </c>
      <c r="BE58" s="78" t="str">
        <f>IF(AND($D58&gt;0,BE$6&gt;=$D58,BE$6&lt;=$E58),1,IF(AND($F58&gt;0,BE$6=$F58),"◆",""))</f>
        <v/>
      </c>
      <c r="BF58" s="78" t="str">
        <f>IF(AND($D58&gt;0,BF$6&gt;=$D58,BF$6&lt;=$E58),1,IF(AND($F58&gt;0,BF$6=$F58),"◆",""))</f>
        <v/>
      </c>
      <c r="BG58" s="78" t="str">
        <f>IF(AND($D58&gt;0,BG$6&gt;=$D58,BG$6&lt;=$E58),1,IF(AND($F58&gt;0,BG$6=$F58),"◆",""))</f>
        <v/>
      </c>
      <c r="BH58" s="78" t="str">
        <f>IF(AND($D58&gt;0,BH$6&gt;=$D58,BH$6&lt;=$E58),1,IF(AND($F58&gt;0,BH$6=$F58),"◆",""))</f>
        <v/>
      </c>
      <c r="BI58" s="78" t="str">
        <f>IF(AND($D58&gt;0,BI$6&gt;=$D58,BI$6&lt;=$E58),1,IF(AND($F58&gt;0,BI$6=$F58),"◆",""))</f>
        <v/>
      </c>
      <c r="BJ58" s="78" t="str">
        <f>IF(AND($D58&gt;0,BJ$6&gt;=$D58,BJ$6&lt;=$E58),1,IF(AND($F58&gt;0,BJ$6=$F58),"◆",""))</f>
        <v/>
      </c>
      <c r="BK58" s="78" t="str">
        <f>IF(AND($D58&gt;0,BK$6&gt;=$D58,BK$6&lt;=$E58),1,IF(AND($F58&gt;0,BK$6=$F58),"◆",""))</f>
        <v/>
      </c>
      <c r="BL58" s="78" t="str">
        <f>IF(AND($D58&gt;0,BL$6&gt;=$D58,BL$6&lt;=$E58),1,IF(AND($F58&gt;0,BL$6=$F58),"◆",""))</f>
        <v/>
      </c>
      <c r="BM58" s="78" t="str">
        <f>IF(AND($D58&gt;0,BM$6&gt;=$D58,BM$6&lt;=$E58),1,IF(AND($F58&gt;0,BM$6=$F58),"◆",""))</f>
        <v/>
      </c>
      <c r="BN58" s="78" t="str">
        <f>IF(AND($D58&gt;0,BN$6&gt;=$D58,BN$6&lt;=$E58),1,IF(AND($F58&gt;0,BN$6=$F58),"◆",""))</f>
        <v/>
      </c>
      <c r="BO58" s="78" t="str">
        <f>IF(AND($D58&gt;0,BO$6&gt;=$D58,BO$6&lt;=$E58),1,IF(AND($F58&gt;0,BO$6=$F58),"◆",""))</f>
        <v/>
      </c>
      <c r="BP58" s="78" t="str">
        <f>IF(AND($D58&gt;0,BP$6&gt;=$D58,BP$6&lt;=$E58),1,IF(AND($F58&gt;0,BP$6=$F58),"◆",""))</f>
        <v/>
      </c>
    </row>
    <row r="59">
      <c r="A59" s="75" t="str">
        <f>IF(INDEX(of_ref,53)="","",INDEX(of_num,53)&amp;"")</f>
        <v/>
      </c>
      <c r="B59" s="75" t="str">
        <f>IF(INDEX(of_ref,53)="","",INDEX(of_des,53)&amp;"")</f>
        <v/>
      </c>
      <c r="C59" s="76" t="str">
        <f>IF(INDEX(of_ref,53)="","",INDEX(of_poste,53)&amp;"")</f>
        <v/>
      </c>
      <c r="D59" s="77">
        <f>INDEX(of_start,53)</f>
        <v>0.0</v>
      </c>
      <c r="E59" s="77">
        <f>INDEX(of_end,53)</f>
        <v>0.0</v>
      </c>
      <c r="F59" s="77">
        <f>IF(N(INDEX(of_need,53))=0,0,INDEX(of_need,53))</f>
        <v>0.0</v>
      </c>
      <c r="G59" s="76" t="str">
        <f>IF(INDEX(of_ref,53)="","",INDEX(of_etat,53)&amp;"")</f>
        <v/>
      </c>
      <c r="I59" s="78" t="str">
        <f>IF(AND($D59&gt;0,I$6&gt;=$D59,I$6&lt;=$E59),1,IF(AND($F59&gt;0,I$6=$F59),"◆",""))</f>
        <v/>
      </c>
      <c r="J59" s="78" t="str">
        <f>IF(AND($D59&gt;0,J$6&gt;=$D59,J$6&lt;=$E59),1,IF(AND($F59&gt;0,J$6=$F59),"◆",""))</f>
        <v/>
      </c>
      <c r="K59" s="78" t="str">
        <f>IF(AND($D59&gt;0,K$6&gt;=$D59,K$6&lt;=$E59),1,IF(AND($F59&gt;0,K$6=$F59),"◆",""))</f>
        <v/>
      </c>
      <c r="L59" s="78" t="str">
        <f>IF(AND($D59&gt;0,L$6&gt;=$D59,L$6&lt;=$E59),1,IF(AND($F59&gt;0,L$6=$F59),"◆",""))</f>
        <v/>
      </c>
      <c r="M59" s="78" t="str">
        <f>IF(AND($D59&gt;0,M$6&gt;=$D59,M$6&lt;=$E59),1,IF(AND($F59&gt;0,M$6=$F59),"◆",""))</f>
        <v/>
      </c>
      <c r="N59" s="78" t="str">
        <f>IF(AND($D59&gt;0,N$6&gt;=$D59,N$6&lt;=$E59),1,IF(AND($F59&gt;0,N$6=$F59),"◆",""))</f>
        <v/>
      </c>
      <c r="O59" s="78" t="str">
        <f>IF(AND($D59&gt;0,O$6&gt;=$D59,O$6&lt;=$E59),1,IF(AND($F59&gt;0,O$6=$F59),"◆",""))</f>
        <v/>
      </c>
      <c r="P59" s="78" t="str">
        <f>IF(AND($D59&gt;0,P$6&gt;=$D59,P$6&lt;=$E59),1,IF(AND($F59&gt;0,P$6=$F59),"◆",""))</f>
        <v/>
      </c>
      <c r="Q59" s="78" t="str">
        <f>IF(AND($D59&gt;0,Q$6&gt;=$D59,Q$6&lt;=$E59),1,IF(AND($F59&gt;0,Q$6=$F59),"◆",""))</f>
        <v/>
      </c>
      <c r="R59" s="78" t="str">
        <f>IF(AND($D59&gt;0,R$6&gt;=$D59,R$6&lt;=$E59),1,IF(AND($F59&gt;0,R$6=$F59),"◆",""))</f>
        <v/>
      </c>
      <c r="S59" s="78" t="str">
        <f>IF(AND($D59&gt;0,S$6&gt;=$D59,S$6&lt;=$E59),1,IF(AND($F59&gt;0,S$6=$F59),"◆",""))</f>
        <v/>
      </c>
      <c r="T59" s="78" t="str">
        <f>IF(AND($D59&gt;0,T$6&gt;=$D59,T$6&lt;=$E59),1,IF(AND($F59&gt;0,T$6=$F59),"◆",""))</f>
        <v/>
      </c>
      <c r="U59" s="78" t="str">
        <f>IF(AND($D59&gt;0,U$6&gt;=$D59,U$6&lt;=$E59),1,IF(AND($F59&gt;0,U$6=$F59),"◆",""))</f>
        <v/>
      </c>
      <c r="V59" s="78" t="str">
        <f>IF(AND($D59&gt;0,V$6&gt;=$D59,V$6&lt;=$E59),1,IF(AND($F59&gt;0,V$6=$F59),"◆",""))</f>
        <v/>
      </c>
      <c r="W59" s="78" t="str">
        <f>IF(AND($D59&gt;0,W$6&gt;=$D59,W$6&lt;=$E59),1,IF(AND($F59&gt;0,W$6=$F59),"◆",""))</f>
        <v/>
      </c>
      <c r="X59" s="78" t="str">
        <f>IF(AND($D59&gt;0,X$6&gt;=$D59,X$6&lt;=$E59),1,IF(AND($F59&gt;0,X$6=$F59),"◆",""))</f>
        <v/>
      </c>
      <c r="Y59" s="78" t="str">
        <f>IF(AND($D59&gt;0,Y$6&gt;=$D59,Y$6&lt;=$E59),1,IF(AND($F59&gt;0,Y$6=$F59),"◆",""))</f>
        <v/>
      </c>
      <c r="Z59" s="78" t="str">
        <f>IF(AND($D59&gt;0,Z$6&gt;=$D59,Z$6&lt;=$E59),1,IF(AND($F59&gt;0,Z$6=$F59),"◆",""))</f>
        <v/>
      </c>
      <c r="AA59" s="78" t="str">
        <f>IF(AND($D59&gt;0,AA$6&gt;=$D59,AA$6&lt;=$E59),1,IF(AND($F59&gt;0,AA$6=$F59),"◆",""))</f>
        <v/>
      </c>
      <c r="AB59" s="78" t="str">
        <f>IF(AND($D59&gt;0,AB$6&gt;=$D59,AB$6&lt;=$E59),1,IF(AND($F59&gt;0,AB$6=$F59),"◆",""))</f>
        <v/>
      </c>
      <c r="AC59" s="78" t="str">
        <f>IF(AND($D59&gt;0,AC$6&gt;=$D59,AC$6&lt;=$E59),1,IF(AND($F59&gt;0,AC$6=$F59),"◆",""))</f>
        <v/>
      </c>
      <c r="AD59" s="78" t="str">
        <f>IF(AND($D59&gt;0,AD$6&gt;=$D59,AD$6&lt;=$E59),1,IF(AND($F59&gt;0,AD$6=$F59),"◆",""))</f>
        <v/>
      </c>
      <c r="AE59" s="78" t="str">
        <f>IF(AND($D59&gt;0,AE$6&gt;=$D59,AE$6&lt;=$E59),1,IF(AND($F59&gt;0,AE$6=$F59),"◆",""))</f>
        <v/>
      </c>
      <c r="AF59" s="78" t="str">
        <f>IF(AND($D59&gt;0,AF$6&gt;=$D59,AF$6&lt;=$E59),1,IF(AND($F59&gt;0,AF$6=$F59),"◆",""))</f>
        <v/>
      </c>
      <c r="AG59" s="78" t="str">
        <f>IF(AND($D59&gt;0,AG$6&gt;=$D59,AG$6&lt;=$E59),1,IF(AND($F59&gt;0,AG$6=$F59),"◆",""))</f>
        <v/>
      </c>
      <c r="AH59" s="78" t="str">
        <f>IF(AND($D59&gt;0,AH$6&gt;=$D59,AH$6&lt;=$E59),1,IF(AND($F59&gt;0,AH$6=$F59),"◆",""))</f>
        <v/>
      </c>
      <c r="AI59" s="78" t="str">
        <f>IF(AND($D59&gt;0,AI$6&gt;=$D59,AI$6&lt;=$E59),1,IF(AND($F59&gt;0,AI$6=$F59),"◆",""))</f>
        <v/>
      </c>
      <c r="AJ59" s="78" t="str">
        <f>IF(AND($D59&gt;0,AJ$6&gt;=$D59,AJ$6&lt;=$E59),1,IF(AND($F59&gt;0,AJ$6=$F59),"◆",""))</f>
        <v/>
      </c>
      <c r="AK59" s="78" t="str">
        <f>IF(AND($D59&gt;0,AK$6&gt;=$D59,AK$6&lt;=$E59),1,IF(AND($F59&gt;0,AK$6=$F59),"◆",""))</f>
        <v/>
      </c>
      <c r="AL59" s="78" t="str">
        <f>IF(AND($D59&gt;0,AL$6&gt;=$D59,AL$6&lt;=$E59),1,IF(AND($F59&gt;0,AL$6=$F59),"◆",""))</f>
        <v/>
      </c>
      <c r="AM59" s="78" t="str">
        <f>IF(AND($D59&gt;0,AM$6&gt;=$D59,AM$6&lt;=$E59),1,IF(AND($F59&gt;0,AM$6=$F59),"◆",""))</f>
        <v/>
      </c>
      <c r="AN59" s="78" t="str">
        <f>IF(AND($D59&gt;0,AN$6&gt;=$D59,AN$6&lt;=$E59),1,IF(AND($F59&gt;0,AN$6=$F59),"◆",""))</f>
        <v/>
      </c>
      <c r="AO59" s="78" t="str">
        <f>IF(AND($D59&gt;0,AO$6&gt;=$D59,AO$6&lt;=$E59),1,IF(AND($F59&gt;0,AO$6=$F59),"◆",""))</f>
        <v/>
      </c>
      <c r="AP59" s="78" t="str">
        <f>IF(AND($D59&gt;0,AP$6&gt;=$D59,AP$6&lt;=$E59),1,IF(AND($F59&gt;0,AP$6=$F59),"◆",""))</f>
        <v/>
      </c>
      <c r="AQ59" s="78" t="str">
        <f>IF(AND($D59&gt;0,AQ$6&gt;=$D59,AQ$6&lt;=$E59),1,IF(AND($F59&gt;0,AQ$6=$F59),"◆",""))</f>
        <v/>
      </c>
      <c r="AR59" s="78" t="str">
        <f>IF(AND($D59&gt;0,AR$6&gt;=$D59,AR$6&lt;=$E59),1,IF(AND($F59&gt;0,AR$6=$F59),"◆",""))</f>
        <v/>
      </c>
      <c r="AS59" s="78" t="str">
        <f>IF(AND($D59&gt;0,AS$6&gt;=$D59,AS$6&lt;=$E59),1,IF(AND($F59&gt;0,AS$6=$F59),"◆",""))</f>
        <v/>
      </c>
      <c r="AT59" s="78" t="str">
        <f>IF(AND($D59&gt;0,AT$6&gt;=$D59,AT$6&lt;=$E59),1,IF(AND($F59&gt;0,AT$6=$F59),"◆",""))</f>
        <v/>
      </c>
      <c r="AU59" s="78" t="str">
        <f>IF(AND($D59&gt;0,AU$6&gt;=$D59,AU$6&lt;=$E59),1,IF(AND($F59&gt;0,AU$6=$F59),"◆",""))</f>
        <v/>
      </c>
      <c r="AV59" s="78" t="str">
        <f>IF(AND($D59&gt;0,AV$6&gt;=$D59,AV$6&lt;=$E59),1,IF(AND($F59&gt;0,AV$6=$F59),"◆",""))</f>
        <v/>
      </c>
      <c r="AW59" s="78" t="str">
        <f>IF(AND($D59&gt;0,AW$6&gt;=$D59,AW$6&lt;=$E59),1,IF(AND($F59&gt;0,AW$6=$F59),"◆",""))</f>
        <v/>
      </c>
      <c r="AX59" s="78" t="str">
        <f>IF(AND($D59&gt;0,AX$6&gt;=$D59,AX$6&lt;=$E59),1,IF(AND($F59&gt;0,AX$6=$F59),"◆",""))</f>
        <v/>
      </c>
      <c r="AY59" s="78" t="str">
        <f>IF(AND($D59&gt;0,AY$6&gt;=$D59,AY$6&lt;=$E59),1,IF(AND($F59&gt;0,AY$6=$F59),"◆",""))</f>
        <v/>
      </c>
      <c r="AZ59" s="78" t="str">
        <f>IF(AND($D59&gt;0,AZ$6&gt;=$D59,AZ$6&lt;=$E59),1,IF(AND($F59&gt;0,AZ$6=$F59),"◆",""))</f>
        <v/>
      </c>
      <c r="BA59" s="78" t="str">
        <f>IF(AND($D59&gt;0,BA$6&gt;=$D59,BA$6&lt;=$E59),1,IF(AND($F59&gt;0,BA$6=$F59),"◆",""))</f>
        <v/>
      </c>
      <c r="BB59" s="78" t="str">
        <f>IF(AND($D59&gt;0,BB$6&gt;=$D59,BB$6&lt;=$E59),1,IF(AND($F59&gt;0,BB$6=$F59),"◆",""))</f>
        <v/>
      </c>
      <c r="BC59" s="78" t="str">
        <f>IF(AND($D59&gt;0,BC$6&gt;=$D59,BC$6&lt;=$E59),1,IF(AND($F59&gt;0,BC$6=$F59),"◆",""))</f>
        <v/>
      </c>
      <c r="BD59" s="78" t="str">
        <f>IF(AND($D59&gt;0,BD$6&gt;=$D59,BD$6&lt;=$E59),1,IF(AND($F59&gt;0,BD$6=$F59),"◆",""))</f>
        <v/>
      </c>
      <c r="BE59" s="78" t="str">
        <f>IF(AND($D59&gt;0,BE$6&gt;=$D59,BE$6&lt;=$E59),1,IF(AND($F59&gt;0,BE$6=$F59),"◆",""))</f>
        <v/>
      </c>
      <c r="BF59" s="78" t="str">
        <f>IF(AND($D59&gt;0,BF$6&gt;=$D59,BF$6&lt;=$E59),1,IF(AND($F59&gt;0,BF$6=$F59),"◆",""))</f>
        <v/>
      </c>
      <c r="BG59" s="78" t="str">
        <f>IF(AND($D59&gt;0,BG$6&gt;=$D59,BG$6&lt;=$E59),1,IF(AND($F59&gt;0,BG$6=$F59),"◆",""))</f>
        <v/>
      </c>
      <c r="BH59" s="78" t="str">
        <f>IF(AND($D59&gt;0,BH$6&gt;=$D59,BH$6&lt;=$E59),1,IF(AND($F59&gt;0,BH$6=$F59),"◆",""))</f>
        <v/>
      </c>
      <c r="BI59" s="78" t="str">
        <f>IF(AND($D59&gt;0,BI$6&gt;=$D59,BI$6&lt;=$E59),1,IF(AND($F59&gt;0,BI$6=$F59),"◆",""))</f>
        <v/>
      </c>
      <c r="BJ59" s="78" t="str">
        <f>IF(AND($D59&gt;0,BJ$6&gt;=$D59,BJ$6&lt;=$E59),1,IF(AND($F59&gt;0,BJ$6=$F59),"◆",""))</f>
        <v/>
      </c>
      <c r="BK59" s="78" t="str">
        <f>IF(AND($D59&gt;0,BK$6&gt;=$D59,BK$6&lt;=$E59),1,IF(AND($F59&gt;0,BK$6=$F59),"◆",""))</f>
        <v/>
      </c>
      <c r="BL59" s="78" t="str">
        <f>IF(AND($D59&gt;0,BL$6&gt;=$D59,BL$6&lt;=$E59),1,IF(AND($F59&gt;0,BL$6=$F59),"◆",""))</f>
        <v/>
      </c>
      <c r="BM59" s="78" t="str">
        <f>IF(AND($D59&gt;0,BM$6&gt;=$D59,BM$6&lt;=$E59),1,IF(AND($F59&gt;0,BM$6=$F59),"◆",""))</f>
        <v/>
      </c>
      <c r="BN59" s="78" t="str">
        <f>IF(AND($D59&gt;0,BN$6&gt;=$D59,BN$6&lt;=$E59),1,IF(AND($F59&gt;0,BN$6=$F59),"◆",""))</f>
        <v/>
      </c>
      <c r="BO59" s="78" t="str">
        <f>IF(AND($D59&gt;0,BO$6&gt;=$D59,BO$6&lt;=$E59),1,IF(AND($F59&gt;0,BO$6=$F59),"◆",""))</f>
        <v/>
      </c>
      <c r="BP59" s="78" t="str">
        <f>IF(AND($D59&gt;0,BP$6&gt;=$D59,BP$6&lt;=$E59),1,IF(AND($F59&gt;0,BP$6=$F59),"◆",""))</f>
        <v/>
      </c>
    </row>
    <row r="60">
      <c r="A60" s="75" t="str">
        <f>IF(INDEX(of_ref,54)="","",INDEX(of_num,54)&amp;"")</f>
        <v/>
      </c>
      <c r="B60" s="75" t="str">
        <f>IF(INDEX(of_ref,54)="","",INDEX(of_des,54)&amp;"")</f>
        <v/>
      </c>
      <c r="C60" s="76" t="str">
        <f>IF(INDEX(of_ref,54)="","",INDEX(of_poste,54)&amp;"")</f>
        <v/>
      </c>
      <c r="D60" s="77">
        <f>INDEX(of_start,54)</f>
        <v>0.0</v>
      </c>
      <c r="E60" s="77">
        <f>INDEX(of_end,54)</f>
        <v>0.0</v>
      </c>
      <c r="F60" s="77">
        <f>IF(N(INDEX(of_need,54))=0,0,INDEX(of_need,54))</f>
        <v>0.0</v>
      </c>
      <c r="G60" s="76" t="str">
        <f>IF(INDEX(of_ref,54)="","",INDEX(of_etat,54)&amp;"")</f>
        <v/>
      </c>
      <c r="I60" s="78" t="str">
        <f>IF(AND($D60&gt;0,I$6&gt;=$D60,I$6&lt;=$E60),1,IF(AND($F60&gt;0,I$6=$F60),"◆",""))</f>
        <v/>
      </c>
      <c r="J60" s="78" t="str">
        <f>IF(AND($D60&gt;0,J$6&gt;=$D60,J$6&lt;=$E60),1,IF(AND($F60&gt;0,J$6=$F60),"◆",""))</f>
        <v/>
      </c>
      <c r="K60" s="78" t="str">
        <f>IF(AND($D60&gt;0,K$6&gt;=$D60,K$6&lt;=$E60),1,IF(AND($F60&gt;0,K$6=$F60),"◆",""))</f>
        <v/>
      </c>
      <c r="L60" s="78" t="str">
        <f>IF(AND($D60&gt;0,L$6&gt;=$D60,L$6&lt;=$E60),1,IF(AND($F60&gt;0,L$6=$F60),"◆",""))</f>
        <v/>
      </c>
      <c r="M60" s="78" t="str">
        <f>IF(AND($D60&gt;0,M$6&gt;=$D60,M$6&lt;=$E60),1,IF(AND($F60&gt;0,M$6=$F60),"◆",""))</f>
        <v/>
      </c>
      <c r="N60" s="78" t="str">
        <f>IF(AND($D60&gt;0,N$6&gt;=$D60,N$6&lt;=$E60),1,IF(AND($F60&gt;0,N$6=$F60),"◆",""))</f>
        <v/>
      </c>
      <c r="O60" s="78" t="str">
        <f>IF(AND($D60&gt;0,O$6&gt;=$D60,O$6&lt;=$E60),1,IF(AND($F60&gt;0,O$6=$F60),"◆",""))</f>
        <v/>
      </c>
      <c r="P60" s="78" t="str">
        <f>IF(AND($D60&gt;0,P$6&gt;=$D60,P$6&lt;=$E60),1,IF(AND($F60&gt;0,P$6=$F60),"◆",""))</f>
        <v/>
      </c>
      <c r="Q60" s="78" t="str">
        <f>IF(AND($D60&gt;0,Q$6&gt;=$D60,Q$6&lt;=$E60),1,IF(AND($F60&gt;0,Q$6=$F60),"◆",""))</f>
        <v/>
      </c>
      <c r="R60" s="78" t="str">
        <f>IF(AND($D60&gt;0,R$6&gt;=$D60,R$6&lt;=$E60),1,IF(AND($F60&gt;0,R$6=$F60),"◆",""))</f>
        <v/>
      </c>
      <c r="S60" s="78" t="str">
        <f>IF(AND($D60&gt;0,S$6&gt;=$D60,S$6&lt;=$E60),1,IF(AND($F60&gt;0,S$6=$F60),"◆",""))</f>
        <v/>
      </c>
      <c r="T60" s="78" t="str">
        <f>IF(AND($D60&gt;0,T$6&gt;=$D60,T$6&lt;=$E60),1,IF(AND($F60&gt;0,T$6=$F60),"◆",""))</f>
        <v/>
      </c>
      <c r="U60" s="78" t="str">
        <f>IF(AND($D60&gt;0,U$6&gt;=$D60,U$6&lt;=$E60),1,IF(AND($F60&gt;0,U$6=$F60),"◆",""))</f>
        <v/>
      </c>
      <c r="V60" s="78" t="str">
        <f>IF(AND($D60&gt;0,V$6&gt;=$D60,V$6&lt;=$E60),1,IF(AND($F60&gt;0,V$6=$F60),"◆",""))</f>
        <v/>
      </c>
      <c r="W60" s="78" t="str">
        <f>IF(AND($D60&gt;0,W$6&gt;=$D60,W$6&lt;=$E60),1,IF(AND($F60&gt;0,W$6=$F60),"◆",""))</f>
        <v/>
      </c>
      <c r="X60" s="78" t="str">
        <f>IF(AND($D60&gt;0,X$6&gt;=$D60,X$6&lt;=$E60),1,IF(AND($F60&gt;0,X$6=$F60),"◆",""))</f>
        <v/>
      </c>
      <c r="Y60" s="78" t="str">
        <f>IF(AND($D60&gt;0,Y$6&gt;=$D60,Y$6&lt;=$E60),1,IF(AND($F60&gt;0,Y$6=$F60),"◆",""))</f>
        <v/>
      </c>
      <c r="Z60" s="78" t="str">
        <f>IF(AND($D60&gt;0,Z$6&gt;=$D60,Z$6&lt;=$E60),1,IF(AND($F60&gt;0,Z$6=$F60),"◆",""))</f>
        <v/>
      </c>
      <c r="AA60" s="78" t="str">
        <f>IF(AND($D60&gt;0,AA$6&gt;=$D60,AA$6&lt;=$E60),1,IF(AND($F60&gt;0,AA$6=$F60),"◆",""))</f>
        <v/>
      </c>
      <c r="AB60" s="78" t="str">
        <f>IF(AND($D60&gt;0,AB$6&gt;=$D60,AB$6&lt;=$E60),1,IF(AND($F60&gt;0,AB$6=$F60),"◆",""))</f>
        <v/>
      </c>
      <c r="AC60" s="78" t="str">
        <f>IF(AND($D60&gt;0,AC$6&gt;=$D60,AC$6&lt;=$E60),1,IF(AND($F60&gt;0,AC$6=$F60),"◆",""))</f>
        <v/>
      </c>
      <c r="AD60" s="78" t="str">
        <f>IF(AND($D60&gt;0,AD$6&gt;=$D60,AD$6&lt;=$E60),1,IF(AND($F60&gt;0,AD$6=$F60),"◆",""))</f>
        <v/>
      </c>
      <c r="AE60" s="78" t="str">
        <f>IF(AND($D60&gt;0,AE$6&gt;=$D60,AE$6&lt;=$E60),1,IF(AND($F60&gt;0,AE$6=$F60),"◆",""))</f>
        <v/>
      </c>
      <c r="AF60" s="78" t="str">
        <f>IF(AND($D60&gt;0,AF$6&gt;=$D60,AF$6&lt;=$E60),1,IF(AND($F60&gt;0,AF$6=$F60),"◆",""))</f>
        <v/>
      </c>
      <c r="AG60" s="78" t="str">
        <f>IF(AND($D60&gt;0,AG$6&gt;=$D60,AG$6&lt;=$E60),1,IF(AND($F60&gt;0,AG$6=$F60),"◆",""))</f>
        <v/>
      </c>
      <c r="AH60" s="78" t="str">
        <f>IF(AND($D60&gt;0,AH$6&gt;=$D60,AH$6&lt;=$E60),1,IF(AND($F60&gt;0,AH$6=$F60),"◆",""))</f>
        <v/>
      </c>
      <c r="AI60" s="78" t="str">
        <f>IF(AND($D60&gt;0,AI$6&gt;=$D60,AI$6&lt;=$E60),1,IF(AND($F60&gt;0,AI$6=$F60),"◆",""))</f>
        <v/>
      </c>
      <c r="AJ60" s="78" t="str">
        <f>IF(AND($D60&gt;0,AJ$6&gt;=$D60,AJ$6&lt;=$E60),1,IF(AND($F60&gt;0,AJ$6=$F60),"◆",""))</f>
        <v/>
      </c>
      <c r="AK60" s="78" t="str">
        <f>IF(AND($D60&gt;0,AK$6&gt;=$D60,AK$6&lt;=$E60),1,IF(AND($F60&gt;0,AK$6=$F60),"◆",""))</f>
        <v/>
      </c>
      <c r="AL60" s="78" t="str">
        <f>IF(AND($D60&gt;0,AL$6&gt;=$D60,AL$6&lt;=$E60),1,IF(AND($F60&gt;0,AL$6=$F60),"◆",""))</f>
        <v/>
      </c>
      <c r="AM60" s="78" t="str">
        <f>IF(AND($D60&gt;0,AM$6&gt;=$D60,AM$6&lt;=$E60),1,IF(AND($F60&gt;0,AM$6=$F60),"◆",""))</f>
        <v/>
      </c>
      <c r="AN60" s="78" t="str">
        <f>IF(AND($D60&gt;0,AN$6&gt;=$D60,AN$6&lt;=$E60),1,IF(AND($F60&gt;0,AN$6=$F60),"◆",""))</f>
        <v/>
      </c>
      <c r="AO60" s="78" t="str">
        <f>IF(AND($D60&gt;0,AO$6&gt;=$D60,AO$6&lt;=$E60),1,IF(AND($F60&gt;0,AO$6=$F60),"◆",""))</f>
        <v/>
      </c>
      <c r="AP60" s="78" t="str">
        <f>IF(AND($D60&gt;0,AP$6&gt;=$D60,AP$6&lt;=$E60),1,IF(AND($F60&gt;0,AP$6=$F60),"◆",""))</f>
        <v/>
      </c>
      <c r="AQ60" s="78" t="str">
        <f>IF(AND($D60&gt;0,AQ$6&gt;=$D60,AQ$6&lt;=$E60),1,IF(AND($F60&gt;0,AQ$6=$F60),"◆",""))</f>
        <v/>
      </c>
      <c r="AR60" s="78" t="str">
        <f>IF(AND($D60&gt;0,AR$6&gt;=$D60,AR$6&lt;=$E60),1,IF(AND($F60&gt;0,AR$6=$F60),"◆",""))</f>
        <v/>
      </c>
      <c r="AS60" s="78" t="str">
        <f>IF(AND($D60&gt;0,AS$6&gt;=$D60,AS$6&lt;=$E60),1,IF(AND($F60&gt;0,AS$6=$F60),"◆",""))</f>
        <v/>
      </c>
      <c r="AT60" s="78" t="str">
        <f>IF(AND($D60&gt;0,AT$6&gt;=$D60,AT$6&lt;=$E60),1,IF(AND($F60&gt;0,AT$6=$F60),"◆",""))</f>
        <v/>
      </c>
      <c r="AU60" s="78" t="str">
        <f>IF(AND($D60&gt;0,AU$6&gt;=$D60,AU$6&lt;=$E60),1,IF(AND($F60&gt;0,AU$6=$F60),"◆",""))</f>
        <v/>
      </c>
      <c r="AV60" s="78" t="str">
        <f>IF(AND($D60&gt;0,AV$6&gt;=$D60,AV$6&lt;=$E60),1,IF(AND($F60&gt;0,AV$6=$F60),"◆",""))</f>
        <v/>
      </c>
      <c r="AW60" s="78" t="str">
        <f>IF(AND($D60&gt;0,AW$6&gt;=$D60,AW$6&lt;=$E60),1,IF(AND($F60&gt;0,AW$6=$F60),"◆",""))</f>
        <v/>
      </c>
      <c r="AX60" s="78" t="str">
        <f>IF(AND($D60&gt;0,AX$6&gt;=$D60,AX$6&lt;=$E60),1,IF(AND($F60&gt;0,AX$6=$F60),"◆",""))</f>
        <v/>
      </c>
      <c r="AY60" s="78" t="str">
        <f>IF(AND($D60&gt;0,AY$6&gt;=$D60,AY$6&lt;=$E60),1,IF(AND($F60&gt;0,AY$6=$F60),"◆",""))</f>
        <v/>
      </c>
      <c r="AZ60" s="78" t="str">
        <f>IF(AND($D60&gt;0,AZ$6&gt;=$D60,AZ$6&lt;=$E60),1,IF(AND($F60&gt;0,AZ$6=$F60),"◆",""))</f>
        <v/>
      </c>
      <c r="BA60" s="78" t="str">
        <f>IF(AND($D60&gt;0,BA$6&gt;=$D60,BA$6&lt;=$E60),1,IF(AND($F60&gt;0,BA$6=$F60),"◆",""))</f>
        <v/>
      </c>
      <c r="BB60" s="78" t="str">
        <f>IF(AND($D60&gt;0,BB$6&gt;=$D60,BB$6&lt;=$E60),1,IF(AND($F60&gt;0,BB$6=$F60),"◆",""))</f>
        <v/>
      </c>
      <c r="BC60" s="78" t="str">
        <f>IF(AND($D60&gt;0,BC$6&gt;=$D60,BC$6&lt;=$E60),1,IF(AND($F60&gt;0,BC$6=$F60),"◆",""))</f>
        <v/>
      </c>
      <c r="BD60" s="78" t="str">
        <f>IF(AND($D60&gt;0,BD$6&gt;=$D60,BD$6&lt;=$E60),1,IF(AND($F60&gt;0,BD$6=$F60),"◆",""))</f>
        <v/>
      </c>
      <c r="BE60" s="78" t="str">
        <f>IF(AND($D60&gt;0,BE$6&gt;=$D60,BE$6&lt;=$E60),1,IF(AND($F60&gt;0,BE$6=$F60),"◆",""))</f>
        <v/>
      </c>
      <c r="BF60" s="78" t="str">
        <f>IF(AND($D60&gt;0,BF$6&gt;=$D60,BF$6&lt;=$E60),1,IF(AND($F60&gt;0,BF$6=$F60),"◆",""))</f>
        <v/>
      </c>
      <c r="BG60" s="78" t="str">
        <f>IF(AND($D60&gt;0,BG$6&gt;=$D60,BG$6&lt;=$E60),1,IF(AND($F60&gt;0,BG$6=$F60),"◆",""))</f>
        <v/>
      </c>
      <c r="BH60" s="78" t="str">
        <f>IF(AND($D60&gt;0,BH$6&gt;=$D60,BH$6&lt;=$E60),1,IF(AND($F60&gt;0,BH$6=$F60),"◆",""))</f>
        <v/>
      </c>
      <c r="BI60" s="78" t="str">
        <f>IF(AND($D60&gt;0,BI$6&gt;=$D60,BI$6&lt;=$E60),1,IF(AND($F60&gt;0,BI$6=$F60),"◆",""))</f>
        <v/>
      </c>
      <c r="BJ60" s="78" t="str">
        <f>IF(AND($D60&gt;0,BJ$6&gt;=$D60,BJ$6&lt;=$E60),1,IF(AND($F60&gt;0,BJ$6=$F60),"◆",""))</f>
        <v/>
      </c>
      <c r="BK60" s="78" t="str">
        <f>IF(AND($D60&gt;0,BK$6&gt;=$D60,BK$6&lt;=$E60),1,IF(AND($F60&gt;0,BK$6=$F60),"◆",""))</f>
        <v/>
      </c>
      <c r="BL60" s="78" t="str">
        <f>IF(AND($D60&gt;0,BL$6&gt;=$D60,BL$6&lt;=$E60),1,IF(AND($F60&gt;0,BL$6=$F60),"◆",""))</f>
        <v/>
      </c>
      <c r="BM60" s="78" t="str">
        <f>IF(AND($D60&gt;0,BM$6&gt;=$D60,BM$6&lt;=$E60),1,IF(AND($F60&gt;0,BM$6=$F60),"◆",""))</f>
        <v/>
      </c>
      <c r="BN60" s="78" t="str">
        <f>IF(AND($D60&gt;0,BN$6&gt;=$D60,BN$6&lt;=$E60),1,IF(AND($F60&gt;0,BN$6=$F60),"◆",""))</f>
        <v/>
      </c>
      <c r="BO60" s="78" t="str">
        <f>IF(AND($D60&gt;0,BO$6&gt;=$D60,BO$6&lt;=$E60),1,IF(AND($F60&gt;0,BO$6=$F60),"◆",""))</f>
        <v/>
      </c>
      <c r="BP60" s="78" t="str">
        <f>IF(AND($D60&gt;0,BP$6&gt;=$D60,BP$6&lt;=$E60),1,IF(AND($F60&gt;0,BP$6=$F60),"◆",""))</f>
        <v/>
      </c>
    </row>
    <row r="61">
      <c r="A61" s="75" t="str">
        <f>IF(INDEX(of_ref,55)="","",INDEX(of_num,55)&amp;"")</f>
        <v/>
      </c>
      <c r="B61" s="75" t="str">
        <f>IF(INDEX(of_ref,55)="","",INDEX(of_des,55)&amp;"")</f>
        <v/>
      </c>
      <c r="C61" s="76" t="str">
        <f>IF(INDEX(of_ref,55)="","",INDEX(of_poste,55)&amp;"")</f>
        <v/>
      </c>
      <c r="D61" s="77">
        <f>INDEX(of_start,55)</f>
        <v>0.0</v>
      </c>
      <c r="E61" s="77">
        <f>INDEX(of_end,55)</f>
        <v>0.0</v>
      </c>
      <c r="F61" s="77">
        <f>IF(N(INDEX(of_need,55))=0,0,INDEX(of_need,55))</f>
        <v>0.0</v>
      </c>
      <c r="G61" s="76" t="str">
        <f>IF(INDEX(of_ref,55)="","",INDEX(of_etat,55)&amp;"")</f>
        <v/>
      </c>
      <c r="I61" s="78" t="str">
        <f>IF(AND($D61&gt;0,I$6&gt;=$D61,I$6&lt;=$E61),1,IF(AND($F61&gt;0,I$6=$F61),"◆",""))</f>
        <v/>
      </c>
      <c r="J61" s="78" t="str">
        <f>IF(AND($D61&gt;0,J$6&gt;=$D61,J$6&lt;=$E61),1,IF(AND($F61&gt;0,J$6=$F61),"◆",""))</f>
        <v/>
      </c>
      <c r="K61" s="78" t="str">
        <f>IF(AND($D61&gt;0,K$6&gt;=$D61,K$6&lt;=$E61),1,IF(AND($F61&gt;0,K$6=$F61),"◆",""))</f>
        <v/>
      </c>
      <c r="L61" s="78" t="str">
        <f>IF(AND($D61&gt;0,L$6&gt;=$D61,L$6&lt;=$E61),1,IF(AND($F61&gt;0,L$6=$F61),"◆",""))</f>
        <v/>
      </c>
      <c r="M61" s="78" t="str">
        <f>IF(AND($D61&gt;0,M$6&gt;=$D61,M$6&lt;=$E61),1,IF(AND($F61&gt;0,M$6=$F61),"◆",""))</f>
        <v/>
      </c>
      <c r="N61" s="78" t="str">
        <f>IF(AND($D61&gt;0,N$6&gt;=$D61,N$6&lt;=$E61),1,IF(AND($F61&gt;0,N$6=$F61),"◆",""))</f>
        <v/>
      </c>
      <c r="O61" s="78" t="str">
        <f>IF(AND($D61&gt;0,O$6&gt;=$D61,O$6&lt;=$E61),1,IF(AND($F61&gt;0,O$6=$F61),"◆",""))</f>
        <v/>
      </c>
      <c r="P61" s="78" t="str">
        <f>IF(AND($D61&gt;0,P$6&gt;=$D61,P$6&lt;=$E61),1,IF(AND($F61&gt;0,P$6=$F61),"◆",""))</f>
        <v/>
      </c>
      <c r="Q61" s="78" t="str">
        <f>IF(AND($D61&gt;0,Q$6&gt;=$D61,Q$6&lt;=$E61),1,IF(AND($F61&gt;0,Q$6=$F61),"◆",""))</f>
        <v/>
      </c>
      <c r="R61" s="78" t="str">
        <f>IF(AND($D61&gt;0,R$6&gt;=$D61,R$6&lt;=$E61),1,IF(AND($F61&gt;0,R$6=$F61),"◆",""))</f>
        <v/>
      </c>
      <c r="S61" s="78" t="str">
        <f>IF(AND($D61&gt;0,S$6&gt;=$D61,S$6&lt;=$E61),1,IF(AND($F61&gt;0,S$6=$F61),"◆",""))</f>
        <v/>
      </c>
      <c r="T61" s="78" t="str">
        <f>IF(AND($D61&gt;0,T$6&gt;=$D61,T$6&lt;=$E61),1,IF(AND($F61&gt;0,T$6=$F61),"◆",""))</f>
        <v/>
      </c>
      <c r="U61" s="78" t="str">
        <f>IF(AND($D61&gt;0,U$6&gt;=$D61,U$6&lt;=$E61),1,IF(AND($F61&gt;0,U$6=$F61),"◆",""))</f>
        <v/>
      </c>
      <c r="V61" s="78" t="str">
        <f>IF(AND($D61&gt;0,V$6&gt;=$D61,V$6&lt;=$E61),1,IF(AND($F61&gt;0,V$6=$F61),"◆",""))</f>
        <v/>
      </c>
      <c r="W61" s="78" t="str">
        <f>IF(AND($D61&gt;0,W$6&gt;=$D61,W$6&lt;=$E61),1,IF(AND($F61&gt;0,W$6=$F61),"◆",""))</f>
        <v/>
      </c>
      <c r="X61" s="78" t="str">
        <f>IF(AND($D61&gt;0,X$6&gt;=$D61,X$6&lt;=$E61),1,IF(AND($F61&gt;0,X$6=$F61),"◆",""))</f>
        <v/>
      </c>
      <c r="Y61" s="78" t="str">
        <f>IF(AND($D61&gt;0,Y$6&gt;=$D61,Y$6&lt;=$E61),1,IF(AND($F61&gt;0,Y$6=$F61),"◆",""))</f>
        <v/>
      </c>
      <c r="Z61" s="78" t="str">
        <f>IF(AND($D61&gt;0,Z$6&gt;=$D61,Z$6&lt;=$E61),1,IF(AND($F61&gt;0,Z$6=$F61),"◆",""))</f>
        <v/>
      </c>
      <c r="AA61" s="78" t="str">
        <f>IF(AND($D61&gt;0,AA$6&gt;=$D61,AA$6&lt;=$E61),1,IF(AND($F61&gt;0,AA$6=$F61),"◆",""))</f>
        <v/>
      </c>
      <c r="AB61" s="78" t="str">
        <f>IF(AND($D61&gt;0,AB$6&gt;=$D61,AB$6&lt;=$E61),1,IF(AND($F61&gt;0,AB$6=$F61),"◆",""))</f>
        <v/>
      </c>
      <c r="AC61" s="78" t="str">
        <f>IF(AND($D61&gt;0,AC$6&gt;=$D61,AC$6&lt;=$E61),1,IF(AND($F61&gt;0,AC$6=$F61),"◆",""))</f>
        <v/>
      </c>
      <c r="AD61" s="78" t="str">
        <f>IF(AND($D61&gt;0,AD$6&gt;=$D61,AD$6&lt;=$E61),1,IF(AND($F61&gt;0,AD$6=$F61),"◆",""))</f>
        <v/>
      </c>
      <c r="AE61" s="78" t="str">
        <f>IF(AND($D61&gt;0,AE$6&gt;=$D61,AE$6&lt;=$E61),1,IF(AND($F61&gt;0,AE$6=$F61),"◆",""))</f>
        <v/>
      </c>
      <c r="AF61" s="78" t="str">
        <f>IF(AND($D61&gt;0,AF$6&gt;=$D61,AF$6&lt;=$E61),1,IF(AND($F61&gt;0,AF$6=$F61),"◆",""))</f>
        <v/>
      </c>
      <c r="AG61" s="78" t="str">
        <f>IF(AND($D61&gt;0,AG$6&gt;=$D61,AG$6&lt;=$E61),1,IF(AND($F61&gt;0,AG$6=$F61),"◆",""))</f>
        <v/>
      </c>
      <c r="AH61" s="78" t="str">
        <f>IF(AND($D61&gt;0,AH$6&gt;=$D61,AH$6&lt;=$E61),1,IF(AND($F61&gt;0,AH$6=$F61),"◆",""))</f>
        <v/>
      </c>
      <c r="AI61" s="78" t="str">
        <f>IF(AND($D61&gt;0,AI$6&gt;=$D61,AI$6&lt;=$E61),1,IF(AND($F61&gt;0,AI$6=$F61),"◆",""))</f>
        <v/>
      </c>
      <c r="AJ61" s="78" t="str">
        <f>IF(AND($D61&gt;0,AJ$6&gt;=$D61,AJ$6&lt;=$E61),1,IF(AND($F61&gt;0,AJ$6=$F61),"◆",""))</f>
        <v/>
      </c>
      <c r="AK61" s="78" t="str">
        <f>IF(AND($D61&gt;0,AK$6&gt;=$D61,AK$6&lt;=$E61),1,IF(AND($F61&gt;0,AK$6=$F61),"◆",""))</f>
        <v/>
      </c>
      <c r="AL61" s="78" t="str">
        <f>IF(AND($D61&gt;0,AL$6&gt;=$D61,AL$6&lt;=$E61),1,IF(AND($F61&gt;0,AL$6=$F61),"◆",""))</f>
        <v/>
      </c>
      <c r="AM61" s="78" t="str">
        <f>IF(AND($D61&gt;0,AM$6&gt;=$D61,AM$6&lt;=$E61),1,IF(AND($F61&gt;0,AM$6=$F61),"◆",""))</f>
        <v/>
      </c>
      <c r="AN61" s="78" t="str">
        <f>IF(AND($D61&gt;0,AN$6&gt;=$D61,AN$6&lt;=$E61),1,IF(AND($F61&gt;0,AN$6=$F61),"◆",""))</f>
        <v/>
      </c>
      <c r="AO61" s="78" t="str">
        <f>IF(AND($D61&gt;0,AO$6&gt;=$D61,AO$6&lt;=$E61),1,IF(AND($F61&gt;0,AO$6=$F61),"◆",""))</f>
        <v/>
      </c>
      <c r="AP61" s="78" t="str">
        <f>IF(AND($D61&gt;0,AP$6&gt;=$D61,AP$6&lt;=$E61),1,IF(AND($F61&gt;0,AP$6=$F61),"◆",""))</f>
        <v/>
      </c>
      <c r="AQ61" s="78" t="str">
        <f>IF(AND($D61&gt;0,AQ$6&gt;=$D61,AQ$6&lt;=$E61),1,IF(AND($F61&gt;0,AQ$6=$F61),"◆",""))</f>
        <v/>
      </c>
      <c r="AR61" s="78" t="str">
        <f>IF(AND($D61&gt;0,AR$6&gt;=$D61,AR$6&lt;=$E61),1,IF(AND($F61&gt;0,AR$6=$F61),"◆",""))</f>
        <v/>
      </c>
      <c r="AS61" s="78" t="str">
        <f>IF(AND($D61&gt;0,AS$6&gt;=$D61,AS$6&lt;=$E61),1,IF(AND($F61&gt;0,AS$6=$F61),"◆",""))</f>
        <v/>
      </c>
      <c r="AT61" s="78" t="str">
        <f>IF(AND($D61&gt;0,AT$6&gt;=$D61,AT$6&lt;=$E61),1,IF(AND($F61&gt;0,AT$6=$F61),"◆",""))</f>
        <v/>
      </c>
      <c r="AU61" s="78" t="str">
        <f>IF(AND($D61&gt;0,AU$6&gt;=$D61,AU$6&lt;=$E61),1,IF(AND($F61&gt;0,AU$6=$F61),"◆",""))</f>
        <v/>
      </c>
      <c r="AV61" s="78" t="str">
        <f>IF(AND($D61&gt;0,AV$6&gt;=$D61,AV$6&lt;=$E61),1,IF(AND($F61&gt;0,AV$6=$F61),"◆",""))</f>
        <v/>
      </c>
      <c r="AW61" s="78" t="str">
        <f>IF(AND($D61&gt;0,AW$6&gt;=$D61,AW$6&lt;=$E61),1,IF(AND($F61&gt;0,AW$6=$F61),"◆",""))</f>
        <v/>
      </c>
      <c r="AX61" s="78" t="str">
        <f>IF(AND($D61&gt;0,AX$6&gt;=$D61,AX$6&lt;=$E61),1,IF(AND($F61&gt;0,AX$6=$F61),"◆",""))</f>
        <v/>
      </c>
      <c r="AY61" s="78" t="str">
        <f>IF(AND($D61&gt;0,AY$6&gt;=$D61,AY$6&lt;=$E61),1,IF(AND($F61&gt;0,AY$6=$F61),"◆",""))</f>
        <v/>
      </c>
      <c r="AZ61" s="78" t="str">
        <f>IF(AND($D61&gt;0,AZ$6&gt;=$D61,AZ$6&lt;=$E61),1,IF(AND($F61&gt;0,AZ$6=$F61),"◆",""))</f>
        <v/>
      </c>
      <c r="BA61" s="78" t="str">
        <f>IF(AND($D61&gt;0,BA$6&gt;=$D61,BA$6&lt;=$E61),1,IF(AND($F61&gt;0,BA$6=$F61),"◆",""))</f>
        <v/>
      </c>
      <c r="BB61" s="78" t="str">
        <f>IF(AND($D61&gt;0,BB$6&gt;=$D61,BB$6&lt;=$E61),1,IF(AND($F61&gt;0,BB$6=$F61),"◆",""))</f>
        <v/>
      </c>
      <c r="BC61" s="78" t="str">
        <f>IF(AND($D61&gt;0,BC$6&gt;=$D61,BC$6&lt;=$E61),1,IF(AND($F61&gt;0,BC$6=$F61),"◆",""))</f>
        <v/>
      </c>
      <c r="BD61" s="78" t="str">
        <f>IF(AND($D61&gt;0,BD$6&gt;=$D61,BD$6&lt;=$E61),1,IF(AND($F61&gt;0,BD$6=$F61),"◆",""))</f>
        <v/>
      </c>
      <c r="BE61" s="78" t="str">
        <f>IF(AND($D61&gt;0,BE$6&gt;=$D61,BE$6&lt;=$E61),1,IF(AND($F61&gt;0,BE$6=$F61),"◆",""))</f>
        <v/>
      </c>
      <c r="BF61" s="78" t="str">
        <f>IF(AND($D61&gt;0,BF$6&gt;=$D61,BF$6&lt;=$E61),1,IF(AND($F61&gt;0,BF$6=$F61),"◆",""))</f>
        <v/>
      </c>
      <c r="BG61" s="78" t="str">
        <f>IF(AND($D61&gt;0,BG$6&gt;=$D61,BG$6&lt;=$E61),1,IF(AND($F61&gt;0,BG$6=$F61),"◆",""))</f>
        <v/>
      </c>
      <c r="BH61" s="78" t="str">
        <f>IF(AND($D61&gt;0,BH$6&gt;=$D61,BH$6&lt;=$E61),1,IF(AND($F61&gt;0,BH$6=$F61),"◆",""))</f>
        <v/>
      </c>
      <c r="BI61" s="78" t="str">
        <f>IF(AND($D61&gt;0,BI$6&gt;=$D61,BI$6&lt;=$E61),1,IF(AND($F61&gt;0,BI$6=$F61),"◆",""))</f>
        <v/>
      </c>
      <c r="BJ61" s="78" t="str">
        <f>IF(AND($D61&gt;0,BJ$6&gt;=$D61,BJ$6&lt;=$E61),1,IF(AND($F61&gt;0,BJ$6=$F61),"◆",""))</f>
        <v/>
      </c>
      <c r="BK61" s="78" t="str">
        <f>IF(AND($D61&gt;0,BK$6&gt;=$D61,BK$6&lt;=$E61),1,IF(AND($F61&gt;0,BK$6=$F61),"◆",""))</f>
        <v/>
      </c>
      <c r="BL61" s="78" t="str">
        <f>IF(AND($D61&gt;0,BL$6&gt;=$D61,BL$6&lt;=$E61),1,IF(AND($F61&gt;0,BL$6=$F61),"◆",""))</f>
        <v/>
      </c>
      <c r="BM61" s="78" t="str">
        <f>IF(AND($D61&gt;0,BM$6&gt;=$D61,BM$6&lt;=$E61),1,IF(AND($F61&gt;0,BM$6=$F61),"◆",""))</f>
        <v/>
      </c>
      <c r="BN61" s="78" t="str">
        <f>IF(AND($D61&gt;0,BN$6&gt;=$D61,BN$6&lt;=$E61),1,IF(AND($F61&gt;0,BN$6=$F61),"◆",""))</f>
        <v/>
      </c>
      <c r="BO61" s="78" t="str">
        <f>IF(AND($D61&gt;0,BO$6&gt;=$D61,BO$6&lt;=$E61),1,IF(AND($F61&gt;0,BO$6=$F61),"◆",""))</f>
        <v/>
      </c>
      <c r="BP61" s="78" t="str">
        <f>IF(AND($D61&gt;0,BP$6&gt;=$D61,BP$6&lt;=$E61),1,IF(AND($F61&gt;0,BP$6=$F61),"◆",""))</f>
        <v/>
      </c>
    </row>
    <row r="62">
      <c r="A62" s="75" t="str">
        <f>IF(INDEX(of_ref,56)="","",INDEX(of_num,56)&amp;"")</f>
        <v/>
      </c>
      <c r="B62" s="75" t="str">
        <f>IF(INDEX(of_ref,56)="","",INDEX(of_des,56)&amp;"")</f>
        <v/>
      </c>
      <c r="C62" s="76" t="str">
        <f>IF(INDEX(of_ref,56)="","",INDEX(of_poste,56)&amp;"")</f>
        <v/>
      </c>
      <c r="D62" s="77">
        <f>INDEX(of_start,56)</f>
        <v>0.0</v>
      </c>
      <c r="E62" s="77">
        <f>INDEX(of_end,56)</f>
        <v>0.0</v>
      </c>
      <c r="F62" s="77">
        <f>IF(N(INDEX(of_need,56))=0,0,INDEX(of_need,56))</f>
        <v>0.0</v>
      </c>
      <c r="G62" s="76" t="str">
        <f>IF(INDEX(of_ref,56)="","",INDEX(of_etat,56)&amp;"")</f>
        <v/>
      </c>
      <c r="I62" s="78" t="str">
        <f>IF(AND($D62&gt;0,I$6&gt;=$D62,I$6&lt;=$E62),1,IF(AND($F62&gt;0,I$6=$F62),"◆",""))</f>
        <v/>
      </c>
      <c r="J62" s="78" t="str">
        <f>IF(AND($D62&gt;0,J$6&gt;=$D62,J$6&lt;=$E62),1,IF(AND($F62&gt;0,J$6=$F62),"◆",""))</f>
        <v/>
      </c>
      <c r="K62" s="78" t="str">
        <f>IF(AND($D62&gt;0,K$6&gt;=$D62,K$6&lt;=$E62),1,IF(AND($F62&gt;0,K$6=$F62),"◆",""))</f>
        <v/>
      </c>
      <c r="L62" s="78" t="str">
        <f>IF(AND($D62&gt;0,L$6&gt;=$D62,L$6&lt;=$E62),1,IF(AND($F62&gt;0,L$6=$F62),"◆",""))</f>
        <v/>
      </c>
      <c r="M62" s="78" t="str">
        <f>IF(AND($D62&gt;0,M$6&gt;=$D62,M$6&lt;=$E62),1,IF(AND($F62&gt;0,M$6=$F62),"◆",""))</f>
        <v/>
      </c>
      <c r="N62" s="78" t="str">
        <f>IF(AND($D62&gt;0,N$6&gt;=$D62,N$6&lt;=$E62),1,IF(AND($F62&gt;0,N$6=$F62),"◆",""))</f>
        <v/>
      </c>
      <c r="O62" s="78" t="str">
        <f>IF(AND($D62&gt;0,O$6&gt;=$D62,O$6&lt;=$E62),1,IF(AND($F62&gt;0,O$6=$F62),"◆",""))</f>
        <v/>
      </c>
      <c r="P62" s="78" t="str">
        <f>IF(AND($D62&gt;0,P$6&gt;=$D62,P$6&lt;=$E62),1,IF(AND($F62&gt;0,P$6=$F62),"◆",""))</f>
        <v/>
      </c>
      <c r="Q62" s="78" t="str">
        <f>IF(AND($D62&gt;0,Q$6&gt;=$D62,Q$6&lt;=$E62),1,IF(AND($F62&gt;0,Q$6=$F62),"◆",""))</f>
        <v/>
      </c>
      <c r="R62" s="78" t="str">
        <f>IF(AND($D62&gt;0,R$6&gt;=$D62,R$6&lt;=$E62),1,IF(AND($F62&gt;0,R$6=$F62),"◆",""))</f>
        <v/>
      </c>
      <c r="S62" s="78" t="str">
        <f>IF(AND($D62&gt;0,S$6&gt;=$D62,S$6&lt;=$E62),1,IF(AND($F62&gt;0,S$6=$F62),"◆",""))</f>
        <v/>
      </c>
      <c r="T62" s="78" t="str">
        <f>IF(AND($D62&gt;0,T$6&gt;=$D62,T$6&lt;=$E62),1,IF(AND($F62&gt;0,T$6=$F62),"◆",""))</f>
        <v/>
      </c>
      <c r="U62" s="78" t="str">
        <f>IF(AND($D62&gt;0,U$6&gt;=$D62,U$6&lt;=$E62),1,IF(AND($F62&gt;0,U$6=$F62),"◆",""))</f>
        <v/>
      </c>
      <c r="V62" s="78" t="str">
        <f>IF(AND($D62&gt;0,V$6&gt;=$D62,V$6&lt;=$E62),1,IF(AND($F62&gt;0,V$6=$F62),"◆",""))</f>
        <v/>
      </c>
      <c r="W62" s="78" t="str">
        <f>IF(AND($D62&gt;0,W$6&gt;=$D62,W$6&lt;=$E62),1,IF(AND($F62&gt;0,W$6=$F62),"◆",""))</f>
        <v/>
      </c>
      <c r="X62" s="78" t="str">
        <f>IF(AND($D62&gt;0,X$6&gt;=$D62,X$6&lt;=$E62),1,IF(AND($F62&gt;0,X$6=$F62),"◆",""))</f>
        <v/>
      </c>
      <c r="Y62" s="78" t="str">
        <f>IF(AND($D62&gt;0,Y$6&gt;=$D62,Y$6&lt;=$E62),1,IF(AND($F62&gt;0,Y$6=$F62),"◆",""))</f>
        <v/>
      </c>
      <c r="Z62" s="78" t="str">
        <f>IF(AND($D62&gt;0,Z$6&gt;=$D62,Z$6&lt;=$E62),1,IF(AND($F62&gt;0,Z$6=$F62),"◆",""))</f>
        <v/>
      </c>
      <c r="AA62" s="78" t="str">
        <f>IF(AND($D62&gt;0,AA$6&gt;=$D62,AA$6&lt;=$E62),1,IF(AND($F62&gt;0,AA$6=$F62),"◆",""))</f>
        <v/>
      </c>
      <c r="AB62" s="78" t="str">
        <f>IF(AND($D62&gt;0,AB$6&gt;=$D62,AB$6&lt;=$E62),1,IF(AND($F62&gt;0,AB$6=$F62),"◆",""))</f>
        <v/>
      </c>
      <c r="AC62" s="78" t="str">
        <f>IF(AND($D62&gt;0,AC$6&gt;=$D62,AC$6&lt;=$E62),1,IF(AND($F62&gt;0,AC$6=$F62),"◆",""))</f>
        <v/>
      </c>
      <c r="AD62" s="78" t="str">
        <f>IF(AND($D62&gt;0,AD$6&gt;=$D62,AD$6&lt;=$E62),1,IF(AND($F62&gt;0,AD$6=$F62),"◆",""))</f>
        <v/>
      </c>
      <c r="AE62" s="78" t="str">
        <f>IF(AND($D62&gt;0,AE$6&gt;=$D62,AE$6&lt;=$E62),1,IF(AND($F62&gt;0,AE$6=$F62),"◆",""))</f>
        <v/>
      </c>
      <c r="AF62" s="78" t="str">
        <f>IF(AND($D62&gt;0,AF$6&gt;=$D62,AF$6&lt;=$E62),1,IF(AND($F62&gt;0,AF$6=$F62),"◆",""))</f>
        <v/>
      </c>
      <c r="AG62" s="78" t="str">
        <f>IF(AND($D62&gt;0,AG$6&gt;=$D62,AG$6&lt;=$E62),1,IF(AND($F62&gt;0,AG$6=$F62),"◆",""))</f>
        <v/>
      </c>
      <c r="AH62" s="78" t="str">
        <f>IF(AND($D62&gt;0,AH$6&gt;=$D62,AH$6&lt;=$E62),1,IF(AND($F62&gt;0,AH$6=$F62),"◆",""))</f>
        <v/>
      </c>
      <c r="AI62" s="78" t="str">
        <f>IF(AND($D62&gt;0,AI$6&gt;=$D62,AI$6&lt;=$E62),1,IF(AND($F62&gt;0,AI$6=$F62),"◆",""))</f>
        <v/>
      </c>
      <c r="AJ62" s="78" t="str">
        <f>IF(AND($D62&gt;0,AJ$6&gt;=$D62,AJ$6&lt;=$E62),1,IF(AND($F62&gt;0,AJ$6=$F62),"◆",""))</f>
        <v/>
      </c>
      <c r="AK62" s="78" t="str">
        <f>IF(AND($D62&gt;0,AK$6&gt;=$D62,AK$6&lt;=$E62),1,IF(AND($F62&gt;0,AK$6=$F62),"◆",""))</f>
        <v/>
      </c>
      <c r="AL62" s="78" t="str">
        <f>IF(AND($D62&gt;0,AL$6&gt;=$D62,AL$6&lt;=$E62),1,IF(AND($F62&gt;0,AL$6=$F62),"◆",""))</f>
        <v/>
      </c>
      <c r="AM62" s="78" t="str">
        <f>IF(AND($D62&gt;0,AM$6&gt;=$D62,AM$6&lt;=$E62),1,IF(AND($F62&gt;0,AM$6=$F62),"◆",""))</f>
        <v/>
      </c>
      <c r="AN62" s="78" t="str">
        <f>IF(AND($D62&gt;0,AN$6&gt;=$D62,AN$6&lt;=$E62),1,IF(AND($F62&gt;0,AN$6=$F62),"◆",""))</f>
        <v/>
      </c>
      <c r="AO62" s="78" t="str">
        <f>IF(AND($D62&gt;0,AO$6&gt;=$D62,AO$6&lt;=$E62),1,IF(AND($F62&gt;0,AO$6=$F62),"◆",""))</f>
        <v/>
      </c>
      <c r="AP62" s="78" t="str">
        <f>IF(AND($D62&gt;0,AP$6&gt;=$D62,AP$6&lt;=$E62),1,IF(AND($F62&gt;0,AP$6=$F62),"◆",""))</f>
        <v/>
      </c>
      <c r="AQ62" s="78" t="str">
        <f>IF(AND($D62&gt;0,AQ$6&gt;=$D62,AQ$6&lt;=$E62),1,IF(AND($F62&gt;0,AQ$6=$F62),"◆",""))</f>
        <v/>
      </c>
      <c r="AR62" s="78" t="str">
        <f>IF(AND($D62&gt;0,AR$6&gt;=$D62,AR$6&lt;=$E62),1,IF(AND($F62&gt;0,AR$6=$F62),"◆",""))</f>
        <v/>
      </c>
      <c r="AS62" s="78" t="str">
        <f>IF(AND($D62&gt;0,AS$6&gt;=$D62,AS$6&lt;=$E62),1,IF(AND($F62&gt;0,AS$6=$F62),"◆",""))</f>
        <v/>
      </c>
      <c r="AT62" s="78" t="str">
        <f>IF(AND($D62&gt;0,AT$6&gt;=$D62,AT$6&lt;=$E62),1,IF(AND($F62&gt;0,AT$6=$F62),"◆",""))</f>
        <v/>
      </c>
      <c r="AU62" s="78" t="str">
        <f>IF(AND($D62&gt;0,AU$6&gt;=$D62,AU$6&lt;=$E62),1,IF(AND($F62&gt;0,AU$6=$F62),"◆",""))</f>
        <v/>
      </c>
      <c r="AV62" s="78" t="str">
        <f>IF(AND($D62&gt;0,AV$6&gt;=$D62,AV$6&lt;=$E62),1,IF(AND($F62&gt;0,AV$6=$F62),"◆",""))</f>
        <v/>
      </c>
      <c r="AW62" s="78" t="str">
        <f>IF(AND($D62&gt;0,AW$6&gt;=$D62,AW$6&lt;=$E62),1,IF(AND($F62&gt;0,AW$6=$F62),"◆",""))</f>
        <v/>
      </c>
      <c r="AX62" s="78" t="str">
        <f>IF(AND($D62&gt;0,AX$6&gt;=$D62,AX$6&lt;=$E62),1,IF(AND($F62&gt;0,AX$6=$F62),"◆",""))</f>
        <v/>
      </c>
      <c r="AY62" s="78" t="str">
        <f>IF(AND($D62&gt;0,AY$6&gt;=$D62,AY$6&lt;=$E62),1,IF(AND($F62&gt;0,AY$6=$F62),"◆",""))</f>
        <v/>
      </c>
      <c r="AZ62" s="78" t="str">
        <f>IF(AND($D62&gt;0,AZ$6&gt;=$D62,AZ$6&lt;=$E62),1,IF(AND($F62&gt;0,AZ$6=$F62),"◆",""))</f>
        <v/>
      </c>
      <c r="BA62" s="78" t="str">
        <f>IF(AND($D62&gt;0,BA$6&gt;=$D62,BA$6&lt;=$E62),1,IF(AND($F62&gt;0,BA$6=$F62),"◆",""))</f>
        <v/>
      </c>
      <c r="BB62" s="78" t="str">
        <f>IF(AND($D62&gt;0,BB$6&gt;=$D62,BB$6&lt;=$E62),1,IF(AND($F62&gt;0,BB$6=$F62),"◆",""))</f>
        <v/>
      </c>
      <c r="BC62" s="78" t="str">
        <f>IF(AND($D62&gt;0,BC$6&gt;=$D62,BC$6&lt;=$E62),1,IF(AND($F62&gt;0,BC$6=$F62),"◆",""))</f>
        <v/>
      </c>
      <c r="BD62" s="78" t="str">
        <f>IF(AND($D62&gt;0,BD$6&gt;=$D62,BD$6&lt;=$E62),1,IF(AND($F62&gt;0,BD$6=$F62),"◆",""))</f>
        <v/>
      </c>
      <c r="BE62" s="78" t="str">
        <f>IF(AND($D62&gt;0,BE$6&gt;=$D62,BE$6&lt;=$E62),1,IF(AND($F62&gt;0,BE$6=$F62),"◆",""))</f>
        <v/>
      </c>
      <c r="BF62" s="78" t="str">
        <f>IF(AND($D62&gt;0,BF$6&gt;=$D62,BF$6&lt;=$E62),1,IF(AND($F62&gt;0,BF$6=$F62),"◆",""))</f>
        <v/>
      </c>
      <c r="BG62" s="78" t="str">
        <f>IF(AND($D62&gt;0,BG$6&gt;=$D62,BG$6&lt;=$E62),1,IF(AND($F62&gt;0,BG$6=$F62),"◆",""))</f>
        <v/>
      </c>
      <c r="BH62" s="78" t="str">
        <f>IF(AND($D62&gt;0,BH$6&gt;=$D62,BH$6&lt;=$E62),1,IF(AND($F62&gt;0,BH$6=$F62),"◆",""))</f>
        <v/>
      </c>
      <c r="BI62" s="78" t="str">
        <f>IF(AND($D62&gt;0,BI$6&gt;=$D62,BI$6&lt;=$E62),1,IF(AND($F62&gt;0,BI$6=$F62),"◆",""))</f>
        <v/>
      </c>
      <c r="BJ62" s="78" t="str">
        <f>IF(AND($D62&gt;0,BJ$6&gt;=$D62,BJ$6&lt;=$E62),1,IF(AND($F62&gt;0,BJ$6=$F62),"◆",""))</f>
        <v/>
      </c>
      <c r="BK62" s="78" t="str">
        <f>IF(AND($D62&gt;0,BK$6&gt;=$D62,BK$6&lt;=$E62),1,IF(AND($F62&gt;0,BK$6=$F62),"◆",""))</f>
        <v/>
      </c>
      <c r="BL62" s="78" t="str">
        <f>IF(AND($D62&gt;0,BL$6&gt;=$D62,BL$6&lt;=$E62),1,IF(AND($F62&gt;0,BL$6=$F62),"◆",""))</f>
        <v/>
      </c>
      <c r="BM62" s="78" t="str">
        <f>IF(AND($D62&gt;0,BM$6&gt;=$D62,BM$6&lt;=$E62),1,IF(AND($F62&gt;0,BM$6=$F62),"◆",""))</f>
        <v/>
      </c>
      <c r="BN62" s="78" t="str">
        <f>IF(AND($D62&gt;0,BN$6&gt;=$D62,BN$6&lt;=$E62),1,IF(AND($F62&gt;0,BN$6=$F62),"◆",""))</f>
        <v/>
      </c>
      <c r="BO62" s="78" t="str">
        <f>IF(AND($D62&gt;0,BO$6&gt;=$D62,BO$6&lt;=$E62),1,IF(AND($F62&gt;0,BO$6=$F62),"◆",""))</f>
        <v/>
      </c>
      <c r="BP62" s="78" t="str">
        <f>IF(AND($D62&gt;0,BP$6&gt;=$D62,BP$6&lt;=$E62),1,IF(AND($F62&gt;0,BP$6=$F62),"◆",""))</f>
        <v/>
      </c>
    </row>
    <row r="63">
      <c r="A63" s="75" t="str">
        <f>IF(INDEX(of_ref,57)="","",INDEX(of_num,57)&amp;"")</f>
        <v/>
      </c>
      <c r="B63" s="75" t="str">
        <f>IF(INDEX(of_ref,57)="","",INDEX(of_des,57)&amp;"")</f>
        <v/>
      </c>
      <c r="C63" s="76" t="str">
        <f>IF(INDEX(of_ref,57)="","",INDEX(of_poste,57)&amp;"")</f>
        <v/>
      </c>
      <c r="D63" s="77">
        <f>INDEX(of_start,57)</f>
        <v>0.0</v>
      </c>
      <c r="E63" s="77">
        <f>INDEX(of_end,57)</f>
        <v>0.0</v>
      </c>
      <c r="F63" s="77">
        <f>IF(N(INDEX(of_need,57))=0,0,INDEX(of_need,57))</f>
        <v>0.0</v>
      </c>
      <c r="G63" s="76" t="str">
        <f>IF(INDEX(of_ref,57)="","",INDEX(of_etat,57)&amp;"")</f>
        <v/>
      </c>
      <c r="I63" s="78" t="str">
        <f>IF(AND($D63&gt;0,I$6&gt;=$D63,I$6&lt;=$E63),1,IF(AND($F63&gt;0,I$6=$F63),"◆",""))</f>
        <v/>
      </c>
      <c r="J63" s="78" t="str">
        <f>IF(AND($D63&gt;0,J$6&gt;=$D63,J$6&lt;=$E63),1,IF(AND($F63&gt;0,J$6=$F63),"◆",""))</f>
        <v/>
      </c>
      <c r="K63" s="78" t="str">
        <f>IF(AND($D63&gt;0,K$6&gt;=$D63,K$6&lt;=$E63),1,IF(AND($F63&gt;0,K$6=$F63),"◆",""))</f>
        <v/>
      </c>
      <c r="L63" s="78" t="str">
        <f>IF(AND($D63&gt;0,L$6&gt;=$D63,L$6&lt;=$E63),1,IF(AND($F63&gt;0,L$6=$F63),"◆",""))</f>
        <v/>
      </c>
      <c r="M63" s="78" t="str">
        <f>IF(AND($D63&gt;0,M$6&gt;=$D63,M$6&lt;=$E63),1,IF(AND($F63&gt;0,M$6=$F63),"◆",""))</f>
        <v/>
      </c>
      <c r="N63" s="78" t="str">
        <f>IF(AND($D63&gt;0,N$6&gt;=$D63,N$6&lt;=$E63),1,IF(AND($F63&gt;0,N$6=$F63),"◆",""))</f>
        <v/>
      </c>
      <c r="O63" s="78" t="str">
        <f>IF(AND($D63&gt;0,O$6&gt;=$D63,O$6&lt;=$E63),1,IF(AND($F63&gt;0,O$6=$F63),"◆",""))</f>
        <v/>
      </c>
      <c r="P63" s="78" t="str">
        <f>IF(AND($D63&gt;0,P$6&gt;=$D63,P$6&lt;=$E63),1,IF(AND($F63&gt;0,P$6=$F63),"◆",""))</f>
        <v/>
      </c>
      <c r="Q63" s="78" t="str">
        <f>IF(AND($D63&gt;0,Q$6&gt;=$D63,Q$6&lt;=$E63),1,IF(AND($F63&gt;0,Q$6=$F63),"◆",""))</f>
        <v/>
      </c>
      <c r="R63" s="78" t="str">
        <f>IF(AND($D63&gt;0,R$6&gt;=$D63,R$6&lt;=$E63),1,IF(AND($F63&gt;0,R$6=$F63),"◆",""))</f>
        <v/>
      </c>
      <c r="S63" s="78" t="str">
        <f>IF(AND($D63&gt;0,S$6&gt;=$D63,S$6&lt;=$E63),1,IF(AND($F63&gt;0,S$6=$F63),"◆",""))</f>
        <v/>
      </c>
      <c r="T63" s="78" t="str">
        <f>IF(AND($D63&gt;0,T$6&gt;=$D63,T$6&lt;=$E63),1,IF(AND($F63&gt;0,T$6=$F63),"◆",""))</f>
        <v/>
      </c>
      <c r="U63" s="78" t="str">
        <f>IF(AND($D63&gt;0,U$6&gt;=$D63,U$6&lt;=$E63),1,IF(AND($F63&gt;0,U$6=$F63),"◆",""))</f>
        <v/>
      </c>
      <c r="V63" s="78" t="str">
        <f>IF(AND($D63&gt;0,V$6&gt;=$D63,V$6&lt;=$E63),1,IF(AND($F63&gt;0,V$6=$F63),"◆",""))</f>
        <v/>
      </c>
      <c r="W63" s="78" t="str">
        <f>IF(AND($D63&gt;0,W$6&gt;=$D63,W$6&lt;=$E63),1,IF(AND($F63&gt;0,W$6=$F63),"◆",""))</f>
        <v/>
      </c>
      <c r="X63" s="78" t="str">
        <f>IF(AND($D63&gt;0,X$6&gt;=$D63,X$6&lt;=$E63),1,IF(AND($F63&gt;0,X$6=$F63),"◆",""))</f>
        <v/>
      </c>
      <c r="Y63" s="78" t="str">
        <f>IF(AND($D63&gt;0,Y$6&gt;=$D63,Y$6&lt;=$E63),1,IF(AND($F63&gt;0,Y$6=$F63),"◆",""))</f>
        <v/>
      </c>
      <c r="Z63" s="78" t="str">
        <f>IF(AND($D63&gt;0,Z$6&gt;=$D63,Z$6&lt;=$E63),1,IF(AND($F63&gt;0,Z$6=$F63),"◆",""))</f>
        <v/>
      </c>
      <c r="AA63" s="78" t="str">
        <f>IF(AND($D63&gt;0,AA$6&gt;=$D63,AA$6&lt;=$E63),1,IF(AND($F63&gt;0,AA$6=$F63),"◆",""))</f>
        <v/>
      </c>
      <c r="AB63" s="78" t="str">
        <f>IF(AND($D63&gt;0,AB$6&gt;=$D63,AB$6&lt;=$E63),1,IF(AND($F63&gt;0,AB$6=$F63),"◆",""))</f>
        <v/>
      </c>
      <c r="AC63" s="78" t="str">
        <f>IF(AND($D63&gt;0,AC$6&gt;=$D63,AC$6&lt;=$E63),1,IF(AND($F63&gt;0,AC$6=$F63),"◆",""))</f>
        <v/>
      </c>
      <c r="AD63" s="78" t="str">
        <f>IF(AND($D63&gt;0,AD$6&gt;=$D63,AD$6&lt;=$E63),1,IF(AND($F63&gt;0,AD$6=$F63),"◆",""))</f>
        <v/>
      </c>
      <c r="AE63" s="78" t="str">
        <f>IF(AND($D63&gt;0,AE$6&gt;=$D63,AE$6&lt;=$E63),1,IF(AND($F63&gt;0,AE$6=$F63),"◆",""))</f>
        <v/>
      </c>
      <c r="AF63" s="78" t="str">
        <f>IF(AND($D63&gt;0,AF$6&gt;=$D63,AF$6&lt;=$E63),1,IF(AND($F63&gt;0,AF$6=$F63),"◆",""))</f>
        <v/>
      </c>
      <c r="AG63" s="78" t="str">
        <f>IF(AND($D63&gt;0,AG$6&gt;=$D63,AG$6&lt;=$E63),1,IF(AND($F63&gt;0,AG$6=$F63),"◆",""))</f>
        <v/>
      </c>
      <c r="AH63" s="78" t="str">
        <f>IF(AND($D63&gt;0,AH$6&gt;=$D63,AH$6&lt;=$E63),1,IF(AND($F63&gt;0,AH$6=$F63),"◆",""))</f>
        <v/>
      </c>
      <c r="AI63" s="78" t="str">
        <f>IF(AND($D63&gt;0,AI$6&gt;=$D63,AI$6&lt;=$E63),1,IF(AND($F63&gt;0,AI$6=$F63),"◆",""))</f>
        <v/>
      </c>
      <c r="AJ63" s="78" t="str">
        <f>IF(AND($D63&gt;0,AJ$6&gt;=$D63,AJ$6&lt;=$E63),1,IF(AND($F63&gt;0,AJ$6=$F63),"◆",""))</f>
        <v/>
      </c>
      <c r="AK63" s="78" t="str">
        <f>IF(AND($D63&gt;0,AK$6&gt;=$D63,AK$6&lt;=$E63),1,IF(AND($F63&gt;0,AK$6=$F63),"◆",""))</f>
        <v/>
      </c>
      <c r="AL63" s="78" t="str">
        <f>IF(AND($D63&gt;0,AL$6&gt;=$D63,AL$6&lt;=$E63),1,IF(AND($F63&gt;0,AL$6=$F63),"◆",""))</f>
        <v/>
      </c>
      <c r="AM63" s="78" t="str">
        <f>IF(AND($D63&gt;0,AM$6&gt;=$D63,AM$6&lt;=$E63),1,IF(AND($F63&gt;0,AM$6=$F63),"◆",""))</f>
        <v/>
      </c>
      <c r="AN63" s="78" t="str">
        <f>IF(AND($D63&gt;0,AN$6&gt;=$D63,AN$6&lt;=$E63),1,IF(AND($F63&gt;0,AN$6=$F63),"◆",""))</f>
        <v/>
      </c>
      <c r="AO63" s="78" t="str">
        <f>IF(AND($D63&gt;0,AO$6&gt;=$D63,AO$6&lt;=$E63),1,IF(AND($F63&gt;0,AO$6=$F63),"◆",""))</f>
        <v/>
      </c>
      <c r="AP63" s="78" t="str">
        <f>IF(AND($D63&gt;0,AP$6&gt;=$D63,AP$6&lt;=$E63),1,IF(AND($F63&gt;0,AP$6=$F63),"◆",""))</f>
        <v/>
      </c>
      <c r="AQ63" s="78" t="str">
        <f>IF(AND($D63&gt;0,AQ$6&gt;=$D63,AQ$6&lt;=$E63),1,IF(AND($F63&gt;0,AQ$6=$F63),"◆",""))</f>
        <v/>
      </c>
      <c r="AR63" s="78" t="str">
        <f>IF(AND($D63&gt;0,AR$6&gt;=$D63,AR$6&lt;=$E63),1,IF(AND($F63&gt;0,AR$6=$F63),"◆",""))</f>
        <v/>
      </c>
      <c r="AS63" s="78" t="str">
        <f>IF(AND($D63&gt;0,AS$6&gt;=$D63,AS$6&lt;=$E63),1,IF(AND($F63&gt;0,AS$6=$F63),"◆",""))</f>
        <v/>
      </c>
      <c r="AT63" s="78" t="str">
        <f>IF(AND($D63&gt;0,AT$6&gt;=$D63,AT$6&lt;=$E63),1,IF(AND($F63&gt;0,AT$6=$F63),"◆",""))</f>
        <v/>
      </c>
      <c r="AU63" s="78" t="str">
        <f>IF(AND($D63&gt;0,AU$6&gt;=$D63,AU$6&lt;=$E63),1,IF(AND($F63&gt;0,AU$6=$F63),"◆",""))</f>
        <v/>
      </c>
      <c r="AV63" s="78" t="str">
        <f>IF(AND($D63&gt;0,AV$6&gt;=$D63,AV$6&lt;=$E63),1,IF(AND($F63&gt;0,AV$6=$F63),"◆",""))</f>
        <v/>
      </c>
      <c r="AW63" s="78" t="str">
        <f>IF(AND($D63&gt;0,AW$6&gt;=$D63,AW$6&lt;=$E63),1,IF(AND($F63&gt;0,AW$6=$F63),"◆",""))</f>
        <v/>
      </c>
      <c r="AX63" s="78" t="str">
        <f>IF(AND($D63&gt;0,AX$6&gt;=$D63,AX$6&lt;=$E63),1,IF(AND($F63&gt;0,AX$6=$F63),"◆",""))</f>
        <v/>
      </c>
      <c r="AY63" s="78" t="str">
        <f>IF(AND($D63&gt;0,AY$6&gt;=$D63,AY$6&lt;=$E63),1,IF(AND($F63&gt;0,AY$6=$F63),"◆",""))</f>
        <v/>
      </c>
      <c r="AZ63" s="78" t="str">
        <f>IF(AND($D63&gt;0,AZ$6&gt;=$D63,AZ$6&lt;=$E63),1,IF(AND($F63&gt;0,AZ$6=$F63),"◆",""))</f>
        <v/>
      </c>
      <c r="BA63" s="78" t="str">
        <f>IF(AND($D63&gt;0,BA$6&gt;=$D63,BA$6&lt;=$E63),1,IF(AND($F63&gt;0,BA$6=$F63),"◆",""))</f>
        <v/>
      </c>
      <c r="BB63" s="78" t="str">
        <f>IF(AND($D63&gt;0,BB$6&gt;=$D63,BB$6&lt;=$E63),1,IF(AND($F63&gt;0,BB$6=$F63),"◆",""))</f>
        <v/>
      </c>
      <c r="BC63" s="78" t="str">
        <f>IF(AND($D63&gt;0,BC$6&gt;=$D63,BC$6&lt;=$E63),1,IF(AND($F63&gt;0,BC$6=$F63),"◆",""))</f>
        <v/>
      </c>
      <c r="BD63" s="78" t="str">
        <f>IF(AND($D63&gt;0,BD$6&gt;=$D63,BD$6&lt;=$E63),1,IF(AND($F63&gt;0,BD$6=$F63),"◆",""))</f>
        <v/>
      </c>
      <c r="BE63" s="78" t="str">
        <f>IF(AND($D63&gt;0,BE$6&gt;=$D63,BE$6&lt;=$E63),1,IF(AND($F63&gt;0,BE$6=$F63),"◆",""))</f>
        <v/>
      </c>
      <c r="BF63" s="78" t="str">
        <f>IF(AND($D63&gt;0,BF$6&gt;=$D63,BF$6&lt;=$E63),1,IF(AND($F63&gt;0,BF$6=$F63),"◆",""))</f>
        <v/>
      </c>
      <c r="BG63" s="78" t="str">
        <f>IF(AND($D63&gt;0,BG$6&gt;=$D63,BG$6&lt;=$E63),1,IF(AND($F63&gt;0,BG$6=$F63),"◆",""))</f>
        <v/>
      </c>
      <c r="BH63" s="78" t="str">
        <f>IF(AND($D63&gt;0,BH$6&gt;=$D63,BH$6&lt;=$E63),1,IF(AND($F63&gt;0,BH$6=$F63),"◆",""))</f>
        <v/>
      </c>
      <c r="BI63" s="78" t="str">
        <f>IF(AND($D63&gt;0,BI$6&gt;=$D63,BI$6&lt;=$E63),1,IF(AND($F63&gt;0,BI$6=$F63),"◆",""))</f>
        <v/>
      </c>
      <c r="BJ63" s="78" t="str">
        <f>IF(AND($D63&gt;0,BJ$6&gt;=$D63,BJ$6&lt;=$E63),1,IF(AND($F63&gt;0,BJ$6=$F63),"◆",""))</f>
        <v/>
      </c>
      <c r="BK63" s="78" t="str">
        <f>IF(AND($D63&gt;0,BK$6&gt;=$D63,BK$6&lt;=$E63),1,IF(AND($F63&gt;0,BK$6=$F63),"◆",""))</f>
        <v/>
      </c>
      <c r="BL63" s="78" t="str">
        <f>IF(AND($D63&gt;0,BL$6&gt;=$D63,BL$6&lt;=$E63),1,IF(AND($F63&gt;0,BL$6=$F63),"◆",""))</f>
        <v/>
      </c>
      <c r="BM63" s="78" t="str">
        <f>IF(AND($D63&gt;0,BM$6&gt;=$D63,BM$6&lt;=$E63),1,IF(AND($F63&gt;0,BM$6=$F63),"◆",""))</f>
        <v/>
      </c>
      <c r="BN63" s="78" t="str">
        <f>IF(AND($D63&gt;0,BN$6&gt;=$D63,BN$6&lt;=$E63),1,IF(AND($F63&gt;0,BN$6=$F63),"◆",""))</f>
        <v/>
      </c>
      <c r="BO63" s="78" t="str">
        <f>IF(AND($D63&gt;0,BO$6&gt;=$D63,BO$6&lt;=$E63),1,IF(AND($F63&gt;0,BO$6=$F63),"◆",""))</f>
        <v/>
      </c>
      <c r="BP63" s="78" t="str">
        <f>IF(AND($D63&gt;0,BP$6&gt;=$D63,BP$6&lt;=$E63),1,IF(AND($F63&gt;0,BP$6=$F63),"◆",""))</f>
        <v/>
      </c>
    </row>
    <row r="64">
      <c r="A64" s="75" t="str">
        <f>IF(INDEX(of_ref,58)="","",INDEX(of_num,58)&amp;"")</f>
        <v/>
      </c>
      <c r="B64" s="75" t="str">
        <f>IF(INDEX(of_ref,58)="","",INDEX(of_des,58)&amp;"")</f>
        <v/>
      </c>
      <c r="C64" s="76" t="str">
        <f>IF(INDEX(of_ref,58)="","",INDEX(of_poste,58)&amp;"")</f>
        <v/>
      </c>
      <c r="D64" s="77">
        <f>INDEX(of_start,58)</f>
        <v>0.0</v>
      </c>
      <c r="E64" s="77">
        <f>INDEX(of_end,58)</f>
        <v>0.0</v>
      </c>
      <c r="F64" s="77">
        <f>IF(N(INDEX(of_need,58))=0,0,INDEX(of_need,58))</f>
        <v>0.0</v>
      </c>
      <c r="G64" s="76" t="str">
        <f>IF(INDEX(of_ref,58)="","",INDEX(of_etat,58)&amp;"")</f>
        <v/>
      </c>
      <c r="I64" s="78" t="str">
        <f>IF(AND($D64&gt;0,I$6&gt;=$D64,I$6&lt;=$E64),1,IF(AND($F64&gt;0,I$6=$F64),"◆",""))</f>
        <v/>
      </c>
      <c r="J64" s="78" t="str">
        <f>IF(AND($D64&gt;0,J$6&gt;=$D64,J$6&lt;=$E64),1,IF(AND($F64&gt;0,J$6=$F64),"◆",""))</f>
        <v/>
      </c>
      <c r="K64" s="78" t="str">
        <f>IF(AND($D64&gt;0,K$6&gt;=$D64,K$6&lt;=$E64),1,IF(AND($F64&gt;0,K$6=$F64),"◆",""))</f>
        <v/>
      </c>
      <c r="L64" s="78" t="str">
        <f>IF(AND($D64&gt;0,L$6&gt;=$D64,L$6&lt;=$E64),1,IF(AND($F64&gt;0,L$6=$F64),"◆",""))</f>
        <v/>
      </c>
      <c r="M64" s="78" t="str">
        <f>IF(AND($D64&gt;0,M$6&gt;=$D64,M$6&lt;=$E64),1,IF(AND($F64&gt;0,M$6=$F64),"◆",""))</f>
        <v/>
      </c>
      <c r="N64" s="78" t="str">
        <f>IF(AND($D64&gt;0,N$6&gt;=$D64,N$6&lt;=$E64),1,IF(AND($F64&gt;0,N$6=$F64),"◆",""))</f>
        <v/>
      </c>
      <c r="O64" s="78" t="str">
        <f>IF(AND($D64&gt;0,O$6&gt;=$D64,O$6&lt;=$E64),1,IF(AND($F64&gt;0,O$6=$F64),"◆",""))</f>
        <v/>
      </c>
      <c r="P64" s="78" t="str">
        <f>IF(AND($D64&gt;0,P$6&gt;=$D64,P$6&lt;=$E64),1,IF(AND($F64&gt;0,P$6=$F64),"◆",""))</f>
        <v/>
      </c>
      <c r="Q64" s="78" t="str">
        <f>IF(AND($D64&gt;0,Q$6&gt;=$D64,Q$6&lt;=$E64),1,IF(AND($F64&gt;0,Q$6=$F64),"◆",""))</f>
        <v/>
      </c>
      <c r="R64" s="78" t="str">
        <f>IF(AND($D64&gt;0,R$6&gt;=$D64,R$6&lt;=$E64),1,IF(AND($F64&gt;0,R$6=$F64),"◆",""))</f>
        <v/>
      </c>
      <c r="S64" s="78" t="str">
        <f>IF(AND($D64&gt;0,S$6&gt;=$D64,S$6&lt;=$E64),1,IF(AND($F64&gt;0,S$6=$F64),"◆",""))</f>
        <v/>
      </c>
      <c r="T64" s="78" t="str">
        <f>IF(AND($D64&gt;0,T$6&gt;=$D64,T$6&lt;=$E64),1,IF(AND($F64&gt;0,T$6=$F64),"◆",""))</f>
        <v/>
      </c>
      <c r="U64" s="78" t="str">
        <f>IF(AND($D64&gt;0,U$6&gt;=$D64,U$6&lt;=$E64),1,IF(AND($F64&gt;0,U$6=$F64),"◆",""))</f>
        <v/>
      </c>
      <c r="V64" s="78" t="str">
        <f>IF(AND($D64&gt;0,V$6&gt;=$D64,V$6&lt;=$E64),1,IF(AND($F64&gt;0,V$6=$F64),"◆",""))</f>
        <v/>
      </c>
      <c r="W64" s="78" t="str">
        <f>IF(AND($D64&gt;0,W$6&gt;=$D64,W$6&lt;=$E64),1,IF(AND($F64&gt;0,W$6=$F64),"◆",""))</f>
        <v/>
      </c>
      <c r="X64" s="78" t="str">
        <f>IF(AND($D64&gt;0,X$6&gt;=$D64,X$6&lt;=$E64),1,IF(AND($F64&gt;0,X$6=$F64),"◆",""))</f>
        <v/>
      </c>
      <c r="Y64" s="78" t="str">
        <f>IF(AND($D64&gt;0,Y$6&gt;=$D64,Y$6&lt;=$E64),1,IF(AND($F64&gt;0,Y$6=$F64),"◆",""))</f>
        <v/>
      </c>
      <c r="Z64" s="78" t="str">
        <f>IF(AND($D64&gt;0,Z$6&gt;=$D64,Z$6&lt;=$E64),1,IF(AND($F64&gt;0,Z$6=$F64),"◆",""))</f>
        <v/>
      </c>
      <c r="AA64" s="78" t="str">
        <f>IF(AND($D64&gt;0,AA$6&gt;=$D64,AA$6&lt;=$E64),1,IF(AND($F64&gt;0,AA$6=$F64),"◆",""))</f>
        <v/>
      </c>
      <c r="AB64" s="78" t="str">
        <f>IF(AND($D64&gt;0,AB$6&gt;=$D64,AB$6&lt;=$E64),1,IF(AND($F64&gt;0,AB$6=$F64),"◆",""))</f>
        <v/>
      </c>
      <c r="AC64" s="78" t="str">
        <f>IF(AND($D64&gt;0,AC$6&gt;=$D64,AC$6&lt;=$E64),1,IF(AND($F64&gt;0,AC$6=$F64),"◆",""))</f>
        <v/>
      </c>
      <c r="AD64" s="78" t="str">
        <f>IF(AND($D64&gt;0,AD$6&gt;=$D64,AD$6&lt;=$E64),1,IF(AND($F64&gt;0,AD$6=$F64),"◆",""))</f>
        <v/>
      </c>
      <c r="AE64" s="78" t="str">
        <f>IF(AND($D64&gt;0,AE$6&gt;=$D64,AE$6&lt;=$E64),1,IF(AND($F64&gt;0,AE$6=$F64),"◆",""))</f>
        <v/>
      </c>
      <c r="AF64" s="78" t="str">
        <f>IF(AND($D64&gt;0,AF$6&gt;=$D64,AF$6&lt;=$E64),1,IF(AND($F64&gt;0,AF$6=$F64),"◆",""))</f>
        <v/>
      </c>
      <c r="AG64" s="78" t="str">
        <f>IF(AND($D64&gt;0,AG$6&gt;=$D64,AG$6&lt;=$E64),1,IF(AND($F64&gt;0,AG$6=$F64),"◆",""))</f>
        <v/>
      </c>
      <c r="AH64" s="78" t="str">
        <f>IF(AND($D64&gt;0,AH$6&gt;=$D64,AH$6&lt;=$E64),1,IF(AND($F64&gt;0,AH$6=$F64),"◆",""))</f>
        <v/>
      </c>
      <c r="AI64" s="78" t="str">
        <f>IF(AND($D64&gt;0,AI$6&gt;=$D64,AI$6&lt;=$E64),1,IF(AND($F64&gt;0,AI$6=$F64),"◆",""))</f>
        <v/>
      </c>
      <c r="AJ64" s="78" t="str">
        <f>IF(AND($D64&gt;0,AJ$6&gt;=$D64,AJ$6&lt;=$E64),1,IF(AND($F64&gt;0,AJ$6=$F64),"◆",""))</f>
        <v/>
      </c>
      <c r="AK64" s="78" t="str">
        <f>IF(AND($D64&gt;0,AK$6&gt;=$D64,AK$6&lt;=$E64),1,IF(AND($F64&gt;0,AK$6=$F64),"◆",""))</f>
        <v/>
      </c>
      <c r="AL64" s="78" t="str">
        <f>IF(AND($D64&gt;0,AL$6&gt;=$D64,AL$6&lt;=$E64),1,IF(AND($F64&gt;0,AL$6=$F64),"◆",""))</f>
        <v/>
      </c>
      <c r="AM64" s="78" t="str">
        <f>IF(AND($D64&gt;0,AM$6&gt;=$D64,AM$6&lt;=$E64),1,IF(AND($F64&gt;0,AM$6=$F64),"◆",""))</f>
        <v/>
      </c>
      <c r="AN64" s="78" t="str">
        <f>IF(AND($D64&gt;0,AN$6&gt;=$D64,AN$6&lt;=$E64),1,IF(AND($F64&gt;0,AN$6=$F64),"◆",""))</f>
        <v/>
      </c>
      <c r="AO64" s="78" t="str">
        <f>IF(AND($D64&gt;0,AO$6&gt;=$D64,AO$6&lt;=$E64),1,IF(AND($F64&gt;0,AO$6=$F64),"◆",""))</f>
        <v/>
      </c>
      <c r="AP64" s="78" t="str">
        <f>IF(AND($D64&gt;0,AP$6&gt;=$D64,AP$6&lt;=$E64),1,IF(AND($F64&gt;0,AP$6=$F64),"◆",""))</f>
        <v/>
      </c>
      <c r="AQ64" s="78" t="str">
        <f>IF(AND($D64&gt;0,AQ$6&gt;=$D64,AQ$6&lt;=$E64),1,IF(AND($F64&gt;0,AQ$6=$F64),"◆",""))</f>
        <v/>
      </c>
      <c r="AR64" s="78" t="str">
        <f>IF(AND($D64&gt;0,AR$6&gt;=$D64,AR$6&lt;=$E64),1,IF(AND($F64&gt;0,AR$6=$F64),"◆",""))</f>
        <v/>
      </c>
      <c r="AS64" s="78" t="str">
        <f>IF(AND($D64&gt;0,AS$6&gt;=$D64,AS$6&lt;=$E64),1,IF(AND($F64&gt;0,AS$6=$F64),"◆",""))</f>
        <v/>
      </c>
      <c r="AT64" s="78" t="str">
        <f>IF(AND($D64&gt;0,AT$6&gt;=$D64,AT$6&lt;=$E64),1,IF(AND($F64&gt;0,AT$6=$F64),"◆",""))</f>
        <v/>
      </c>
      <c r="AU64" s="78" t="str">
        <f>IF(AND($D64&gt;0,AU$6&gt;=$D64,AU$6&lt;=$E64),1,IF(AND($F64&gt;0,AU$6=$F64),"◆",""))</f>
        <v/>
      </c>
      <c r="AV64" s="78" t="str">
        <f>IF(AND($D64&gt;0,AV$6&gt;=$D64,AV$6&lt;=$E64),1,IF(AND($F64&gt;0,AV$6=$F64),"◆",""))</f>
        <v/>
      </c>
      <c r="AW64" s="78" t="str">
        <f>IF(AND($D64&gt;0,AW$6&gt;=$D64,AW$6&lt;=$E64),1,IF(AND($F64&gt;0,AW$6=$F64),"◆",""))</f>
        <v/>
      </c>
      <c r="AX64" s="78" t="str">
        <f>IF(AND($D64&gt;0,AX$6&gt;=$D64,AX$6&lt;=$E64),1,IF(AND($F64&gt;0,AX$6=$F64),"◆",""))</f>
        <v/>
      </c>
      <c r="AY64" s="78" t="str">
        <f>IF(AND($D64&gt;0,AY$6&gt;=$D64,AY$6&lt;=$E64),1,IF(AND($F64&gt;0,AY$6=$F64),"◆",""))</f>
        <v/>
      </c>
      <c r="AZ64" s="78" t="str">
        <f>IF(AND($D64&gt;0,AZ$6&gt;=$D64,AZ$6&lt;=$E64),1,IF(AND($F64&gt;0,AZ$6=$F64),"◆",""))</f>
        <v/>
      </c>
      <c r="BA64" s="78" t="str">
        <f>IF(AND($D64&gt;0,BA$6&gt;=$D64,BA$6&lt;=$E64),1,IF(AND($F64&gt;0,BA$6=$F64),"◆",""))</f>
        <v/>
      </c>
      <c r="BB64" s="78" t="str">
        <f>IF(AND($D64&gt;0,BB$6&gt;=$D64,BB$6&lt;=$E64),1,IF(AND($F64&gt;0,BB$6=$F64),"◆",""))</f>
        <v/>
      </c>
      <c r="BC64" s="78" t="str">
        <f>IF(AND($D64&gt;0,BC$6&gt;=$D64,BC$6&lt;=$E64),1,IF(AND($F64&gt;0,BC$6=$F64),"◆",""))</f>
        <v/>
      </c>
      <c r="BD64" s="78" t="str">
        <f>IF(AND($D64&gt;0,BD$6&gt;=$D64,BD$6&lt;=$E64),1,IF(AND($F64&gt;0,BD$6=$F64),"◆",""))</f>
        <v/>
      </c>
      <c r="BE64" s="78" t="str">
        <f>IF(AND($D64&gt;0,BE$6&gt;=$D64,BE$6&lt;=$E64),1,IF(AND($F64&gt;0,BE$6=$F64),"◆",""))</f>
        <v/>
      </c>
      <c r="BF64" s="78" t="str">
        <f>IF(AND($D64&gt;0,BF$6&gt;=$D64,BF$6&lt;=$E64),1,IF(AND($F64&gt;0,BF$6=$F64),"◆",""))</f>
        <v/>
      </c>
      <c r="BG64" s="78" t="str">
        <f>IF(AND($D64&gt;0,BG$6&gt;=$D64,BG$6&lt;=$E64),1,IF(AND($F64&gt;0,BG$6=$F64),"◆",""))</f>
        <v/>
      </c>
      <c r="BH64" s="78" t="str">
        <f>IF(AND($D64&gt;0,BH$6&gt;=$D64,BH$6&lt;=$E64),1,IF(AND($F64&gt;0,BH$6=$F64),"◆",""))</f>
        <v/>
      </c>
      <c r="BI64" s="78" t="str">
        <f>IF(AND($D64&gt;0,BI$6&gt;=$D64,BI$6&lt;=$E64),1,IF(AND($F64&gt;0,BI$6=$F64),"◆",""))</f>
        <v/>
      </c>
      <c r="BJ64" s="78" t="str">
        <f>IF(AND($D64&gt;0,BJ$6&gt;=$D64,BJ$6&lt;=$E64),1,IF(AND($F64&gt;0,BJ$6=$F64),"◆",""))</f>
        <v/>
      </c>
      <c r="BK64" s="78" t="str">
        <f>IF(AND($D64&gt;0,BK$6&gt;=$D64,BK$6&lt;=$E64),1,IF(AND($F64&gt;0,BK$6=$F64),"◆",""))</f>
        <v/>
      </c>
      <c r="BL64" s="78" t="str">
        <f>IF(AND($D64&gt;0,BL$6&gt;=$D64,BL$6&lt;=$E64),1,IF(AND($F64&gt;0,BL$6=$F64),"◆",""))</f>
        <v/>
      </c>
      <c r="BM64" s="78" t="str">
        <f>IF(AND($D64&gt;0,BM$6&gt;=$D64,BM$6&lt;=$E64),1,IF(AND($F64&gt;0,BM$6=$F64),"◆",""))</f>
        <v/>
      </c>
      <c r="BN64" s="78" t="str">
        <f>IF(AND($D64&gt;0,BN$6&gt;=$D64,BN$6&lt;=$E64),1,IF(AND($F64&gt;0,BN$6=$F64),"◆",""))</f>
        <v/>
      </c>
      <c r="BO64" s="78" t="str">
        <f>IF(AND($D64&gt;0,BO$6&gt;=$D64,BO$6&lt;=$E64),1,IF(AND($F64&gt;0,BO$6=$F64),"◆",""))</f>
        <v/>
      </c>
      <c r="BP64" s="78" t="str">
        <f>IF(AND($D64&gt;0,BP$6&gt;=$D64,BP$6&lt;=$E64),1,IF(AND($F64&gt;0,BP$6=$F64),"◆",""))</f>
        <v/>
      </c>
    </row>
    <row r="65">
      <c r="A65" s="75" t="str">
        <f>IF(INDEX(of_ref,59)="","",INDEX(of_num,59)&amp;"")</f>
        <v/>
      </c>
      <c r="B65" s="75" t="str">
        <f>IF(INDEX(of_ref,59)="","",INDEX(of_des,59)&amp;"")</f>
        <v/>
      </c>
      <c r="C65" s="76" t="str">
        <f>IF(INDEX(of_ref,59)="","",INDEX(of_poste,59)&amp;"")</f>
        <v/>
      </c>
      <c r="D65" s="77">
        <f>INDEX(of_start,59)</f>
        <v>0.0</v>
      </c>
      <c r="E65" s="77">
        <f>INDEX(of_end,59)</f>
        <v>0.0</v>
      </c>
      <c r="F65" s="77">
        <f>IF(N(INDEX(of_need,59))=0,0,INDEX(of_need,59))</f>
        <v>0.0</v>
      </c>
      <c r="G65" s="76" t="str">
        <f>IF(INDEX(of_ref,59)="","",INDEX(of_etat,59)&amp;"")</f>
        <v/>
      </c>
      <c r="I65" s="78" t="str">
        <f>IF(AND($D65&gt;0,I$6&gt;=$D65,I$6&lt;=$E65),1,IF(AND($F65&gt;0,I$6=$F65),"◆",""))</f>
        <v/>
      </c>
      <c r="J65" s="78" t="str">
        <f>IF(AND($D65&gt;0,J$6&gt;=$D65,J$6&lt;=$E65),1,IF(AND($F65&gt;0,J$6=$F65),"◆",""))</f>
        <v/>
      </c>
      <c r="K65" s="78" t="str">
        <f>IF(AND($D65&gt;0,K$6&gt;=$D65,K$6&lt;=$E65),1,IF(AND($F65&gt;0,K$6=$F65),"◆",""))</f>
        <v/>
      </c>
      <c r="L65" s="78" t="str">
        <f>IF(AND($D65&gt;0,L$6&gt;=$D65,L$6&lt;=$E65),1,IF(AND($F65&gt;0,L$6=$F65),"◆",""))</f>
        <v/>
      </c>
      <c r="M65" s="78" t="str">
        <f>IF(AND($D65&gt;0,M$6&gt;=$D65,M$6&lt;=$E65),1,IF(AND($F65&gt;0,M$6=$F65),"◆",""))</f>
        <v/>
      </c>
      <c r="N65" s="78" t="str">
        <f>IF(AND($D65&gt;0,N$6&gt;=$D65,N$6&lt;=$E65),1,IF(AND($F65&gt;0,N$6=$F65),"◆",""))</f>
        <v/>
      </c>
      <c r="O65" s="78" t="str">
        <f>IF(AND($D65&gt;0,O$6&gt;=$D65,O$6&lt;=$E65),1,IF(AND($F65&gt;0,O$6=$F65),"◆",""))</f>
        <v/>
      </c>
      <c r="P65" s="78" t="str">
        <f>IF(AND($D65&gt;0,P$6&gt;=$D65,P$6&lt;=$E65),1,IF(AND($F65&gt;0,P$6=$F65),"◆",""))</f>
        <v/>
      </c>
      <c r="Q65" s="78" t="str">
        <f>IF(AND($D65&gt;0,Q$6&gt;=$D65,Q$6&lt;=$E65),1,IF(AND($F65&gt;0,Q$6=$F65),"◆",""))</f>
        <v/>
      </c>
      <c r="R65" s="78" t="str">
        <f>IF(AND($D65&gt;0,R$6&gt;=$D65,R$6&lt;=$E65),1,IF(AND($F65&gt;0,R$6=$F65),"◆",""))</f>
        <v/>
      </c>
      <c r="S65" s="78" t="str">
        <f>IF(AND($D65&gt;0,S$6&gt;=$D65,S$6&lt;=$E65),1,IF(AND($F65&gt;0,S$6=$F65),"◆",""))</f>
        <v/>
      </c>
      <c r="T65" s="78" t="str">
        <f>IF(AND($D65&gt;0,T$6&gt;=$D65,T$6&lt;=$E65),1,IF(AND($F65&gt;0,T$6=$F65),"◆",""))</f>
        <v/>
      </c>
      <c r="U65" s="78" t="str">
        <f>IF(AND($D65&gt;0,U$6&gt;=$D65,U$6&lt;=$E65),1,IF(AND($F65&gt;0,U$6=$F65),"◆",""))</f>
        <v/>
      </c>
      <c r="V65" s="78" t="str">
        <f>IF(AND($D65&gt;0,V$6&gt;=$D65,V$6&lt;=$E65),1,IF(AND($F65&gt;0,V$6=$F65),"◆",""))</f>
        <v/>
      </c>
      <c r="W65" s="78" t="str">
        <f>IF(AND($D65&gt;0,W$6&gt;=$D65,W$6&lt;=$E65),1,IF(AND($F65&gt;0,W$6=$F65),"◆",""))</f>
        <v/>
      </c>
      <c r="X65" s="78" t="str">
        <f>IF(AND($D65&gt;0,X$6&gt;=$D65,X$6&lt;=$E65),1,IF(AND($F65&gt;0,X$6=$F65),"◆",""))</f>
        <v/>
      </c>
      <c r="Y65" s="78" t="str">
        <f>IF(AND($D65&gt;0,Y$6&gt;=$D65,Y$6&lt;=$E65),1,IF(AND($F65&gt;0,Y$6=$F65),"◆",""))</f>
        <v/>
      </c>
      <c r="Z65" s="78" t="str">
        <f>IF(AND($D65&gt;0,Z$6&gt;=$D65,Z$6&lt;=$E65),1,IF(AND($F65&gt;0,Z$6=$F65),"◆",""))</f>
        <v/>
      </c>
      <c r="AA65" s="78" t="str">
        <f>IF(AND($D65&gt;0,AA$6&gt;=$D65,AA$6&lt;=$E65),1,IF(AND($F65&gt;0,AA$6=$F65),"◆",""))</f>
        <v/>
      </c>
      <c r="AB65" s="78" t="str">
        <f>IF(AND($D65&gt;0,AB$6&gt;=$D65,AB$6&lt;=$E65),1,IF(AND($F65&gt;0,AB$6=$F65),"◆",""))</f>
        <v/>
      </c>
      <c r="AC65" s="78" t="str">
        <f>IF(AND($D65&gt;0,AC$6&gt;=$D65,AC$6&lt;=$E65),1,IF(AND($F65&gt;0,AC$6=$F65),"◆",""))</f>
        <v/>
      </c>
      <c r="AD65" s="78" t="str">
        <f>IF(AND($D65&gt;0,AD$6&gt;=$D65,AD$6&lt;=$E65),1,IF(AND($F65&gt;0,AD$6=$F65),"◆",""))</f>
        <v/>
      </c>
      <c r="AE65" s="78" t="str">
        <f>IF(AND($D65&gt;0,AE$6&gt;=$D65,AE$6&lt;=$E65),1,IF(AND($F65&gt;0,AE$6=$F65),"◆",""))</f>
        <v/>
      </c>
      <c r="AF65" s="78" t="str">
        <f>IF(AND($D65&gt;0,AF$6&gt;=$D65,AF$6&lt;=$E65),1,IF(AND($F65&gt;0,AF$6=$F65),"◆",""))</f>
        <v/>
      </c>
      <c r="AG65" s="78" t="str">
        <f>IF(AND($D65&gt;0,AG$6&gt;=$D65,AG$6&lt;=$E65),1,IF(AND($F65&gt;0,AG$6=$F65),"◆",""))</f>
        <v/>
      </c>
      <c r="AH65" s="78" t="str">
        <f>IF(AND($D65&gt;0,AH$6&gt;=$D65,AH$6&lt;=$E65),1,IF(AND($F65&gt;0,AH$6=$F65),"◆",""))</f>
        <v/>
      </c>
      <c r="AI65" s="78" t="str">
        <f>IF(AND($D65&gt;0,AI$6&gt;=$D65,AI$6&lt;=$E65),1,IF(AND($F65&gt;0,AI$6=$F65),"◆",""))</f>
        <v/>
      </c>
      <c r="AJ65" s="78" t="str">
        <f>IF(AND($D65&gt;0,AJ$6&gt;=$D65,AJ$6&lt;=$E65),1,IF(AND($F65&gt;0,AJ$6=$F65),"◆",""))</f>
        <v/>
      </c>
      <c r="AK65" s="78" t="str">
        <f>IF(AND($D65&gt;0,AK$6&gt;=$D65,AK$6&lt;=$E65),1,IF(AND($F65&gt;0,AK$6=$F65),"◆",""))</f>
        <v/>
      </c>
      <c r="AL65" s="78" t="str">
        <f>IF(AND($D65&gt;0,AL$6&gt;=$D65,AL$6&lt;=$E65),1,IF(AND($F65&gt;0,AL$6=$F65),"◆",""))</f>
        <v/>
      </c>
      <c r="AM65" s="78" t="str">
        <f>IF(AND($D65&gt;0,AM$6&gt;=$D65,AM$6&lt;=$E65),1,IF(AND($F65&gt;0,AM$6=$F65),"◆",""))</f>
        <v/>
      </c>
      <c r="AN65" s="78" t="str">
        <f>IF(AND($D65&gt;0,AN$6&gt;=$D65,AN$6&lt;=$E65),1,IF(AND($F65&gt;0,AN$6=$F65),"◆",""))</f>
        <v/>
      </c>
      <c r="AO65" s="78" t="str">
        <f>IF(AND($D65&gt;0,AO$6&gt;=$D65,AO$6&lt;=$E65),1,IF(AND($F65&gt;0,AO$6=$F65),"◆",""))</f>
        <v/>
      </c>
      <c r="AP65" s="78" t="str">
        <f>IF(AND($D65&gt;0,AP$6&gt;=$D65,AP$6&lt;=$E65),1,IF(AND($F65&gt;0,AP$6=$F65),"◆",""))</f>
        <v/>
      </c>
      <c r="AQ65" s="78" t="str">
        <f>IF(AND($D65&gt;0,AQ$6&gt;=$D65,AQ$6&lt;=$E65),1,IF(AND($F65&gt;0,AQ$6=$F65),"◆",""))</f>
        <v/>
      </c>
      <c r="AR65" s="78" t="str">
        <f>IF(AND($D65&gt;0,AR$6&gt;=$D65,AR$6&lt;=$E65),1,IF(AND($F65&gt;0,AR$6=$F65),"◆",""))</f>
        <v/>
      </c>
      <c r="AS65" s="78" t="str">
        <f>IF(AND($D65&gt;0,AS$6&gt;=$D65,AS$6&lt;=$E65),1,IF(AND($F65&gt;0,AS$6=$F65),"◆",""))</f>
        <v/>
      </c>
      <c r="AT65" s="78" t="str">
        <f>IF(AND($D65&gt;0,AT$6&gt;=$D65,AT$6&lt;=$E65),1,IF(AND($F65&gt;0,AT$6=$F65),"◆",""))</f>
        <v/>
      </c>
      <c r="AU65" s="78" t="str">
        <f>IF(AND($D65&gt;0,AU$6&gt;=$D65,AU$6&lt;=$E65),1,IF(AND($F65&gt;0,AU$6=$F65),"◆",""))</f>
        <v/>
      </c>
      <c r="AV65" s="78" t="str">
        <f>IF(AND($D65&gt;0,AV$6&gt;=$D65,AV$6&lt;=$E65),1,IF(AND($F65&gt;0,AV$6=$F65),"◆",""))</f>
        <v/>
      </c>
      <c r="AW65" s="78" t="str">
        <f>IF(AND($D65&gt;0,AW$6&gt;=$D65,AW$6&lt;=$E65),1,IF(AND($F65&gt;0,AW$6=$F65),"◆",""))</f>
        <v/>
      </c>
      <c r="AX65" s="78" t="str">
        <f>IF(AND($D65&gt;0,AX$6&gt;=$D65,AX$6&lt;=$E65),1,IF(AND($F65&gt;0,AX$6=$F65),"◆",""))</f>
        <v/>
      </c>
      <c r="AY65" s="78" t="str">
        <f>IF(AND($D65&gt;0,AY$6&gt;=$D65,AY$6&lt;=$E65),1,IF(AND($F65&gt;0,AY$6=$F65),"◆",""))</f>
        <v/>
      </c>
      <c r="AZ65" s="78" t="str">
        <f>IF(AND($D65&gt;0,AZ$6&gt;=$D65,AZ$6&lt;=$E65),1,IF(AND($F65&gt;0,AZ$6=$F65),"◆",""))</f>
        <v/>
      </c>
      <c r="BA65" s="78" t="str">
        <f>IF(AND($D65&gt;0,BA$6&gt;=$D65,BA$6&lt;=$E65),1,IF(AND($F65&gt;0,BA$6=$F65),"◆",""))</f>
        <v/>
      </c>
      <c r="BB65" s="78" t="str">
        <f>IF(AND($D65&gt;0,BB$6&gt;=$D65,BB$6&lt;=$E65),1,IF(AND($F65&gt;0,BB$6=$F65),"◆",""))</f>
        <v/>
      </c>
      <c r="BC65" s="78" t="str">
        <f>IF(AND($D65&gt;0,BC$6&gt;=$D65,BC$6&lt;=$E65),1,IF(AND($F65&gt;0,BC$6=$F65),"◆",""))</f>
        <v/>
      </c>
      <c r="BD65" s="78" t="str">
        <f>IF(AND($D65&gt;0,BD$6&gt;=$D65,BD$6&lt;=$E65),1,IF(AND($F65&gt;0,BD$6=$F65),"◆",""))</f>
        <v/>
      </c>
      <c r="BE65" s="78" t="str">
        <f>IF(AND($D65&gt;0,BE$6&gt;=$D65,BE$6&lt;=$E65),1,IF(AND($F65&gt;0,BE$6=$F65),"◆",""))</f>
        <v/>
      </c>
      <c r="BF65" s="78" t="str">
        <f>IF(AND($D65&gt;0,BF$6&gt;=$D65,BF$6&lt;=$E65),1,IF(AND($F65&gt;0,BF$6=$F65),"◆",""))</f>
        <v/>
      </c>
      <c r="BG65" s="78" t="str">
        <f>IF(AND($D65&gt;0,BG$6&gt;=$D65,BG$6&lt;=$E65),1,IF(AND($F65&gt;0,BG$6=$F65),"◆",""))</f>
        <v/>
      </c>
      <c r="BH65" s="78" t="str">
        <f>IF(AND($D65&gt;0,BH$6&gt;=$D65,BH$6&lt;=$E65),1,IF(AND($F65&gt;0,BH$6=$F65),"◆",""))</f>
        <v/>
      </c>
      <c r="BI65" s="78" t="str">
        <f>IF(AND($D65&gt;0,BI$6&gt;=$D65,BI$6&lt;=$E65),1,IF(AND($F65&gt;0,BI$6=$F65),"◆",""))</f>
        <v/>
      </c>
      <c r="BJ65" s="78" t="str">
        <f>IF(AND($D65&gt;0,BJ$6&gt;=$D65,BJ$6&lt;=$E65),1,IF(AND($F65&gt;0,BJ$6=$F65),"◆",""))</f>
        <v/>
      </c>
      <c r="BK65" s="78" t="str">
        <f>IF(AND($D65&gt;0,BK$6&gt;=$D65,BK$6&lt;=$E65),1,IF(AND($F65&gt;0,BK$6=$F65),"◆",""))</f>
        <v/>
      </c>
      <c r="BL65" s="78" t="str">
        <f>IF(AND($D65&gt;0,BL$6&gt;=$D65,BL$6&lt;=$E65),1,IF(AND($F65&gt;0,BL$6=$F65),"◆",""))</f>
        <v/>
      </c>
      <c r="BM65" s="78" t="str">
        <f>IF(AND($D65&gt;0,BM$6&gt;=$D65,BM$6&lt;=$E65),1,IF(AND($F65&gt;0,BM$6=$F65),"◆",""))</f>
        <v/>
      </c>
      <c r="BN65" s="78" t="str">
        <f>IF(AND($D65&gt;0,BN$6&gt;=$D65,BN$6&lt;=$E65),1,IF(AND($F65&gt;0,BN$6=$F65),"◆",""))</f>
        <v/>
      </c>
      <c r="BO65" s="78" t="str">
        <f>IF(AND($D65&gt;0,BO$6&gt;=$D65,BO$6&lt;=$E65),1,IF(AND($F65&gt;0,BO$6=$F65),"◆",""))</f>
        <v/>
      </c>
      <c r="BP65" s="78" t="str">
        <f>IF(AND($D65&gt;0,BP$6&gt;=$D65,BP$6&lt;=$E65),1,IF(AND($F65&gt;0,BP$6=$F65),"◆",""))</f>
        <v/>
      </c>
    </row>
    <row r="66">
      <c r="A66" s="75" t="str">
        <f>IF(INDEX(of_ref,60)="","",INDEX(of_num,60)&amp;"")</f>
        <v/>
      </c>
      <c r="B66" s="75" t="str">
        <f>IF(INDEX(of_ref,60)="","",INDEX(of_des,60)&amp;"")</f>
        <v/>
      </c>
      <c r="C66" s="76" t="str">
        <f>IF(INDEX(of_ref,60)="","",INDEX(of_poste,60)&amp;"")</f>
        <v/>
      </c>
      <c r="D66" s="77">
        <f>INDEX(of_start,60)</f>
        <v>0.0</v>
      </c>
      <c r="E66" s="77">
        <f>INDEX(of_end,60)</f>
        <v>0.0</v>
      </c>
      <c r="F66" s="77">
        <f>IF(N(INDEX(of_need,60))=0,0,INDEX(of_need,60))</f>
        <v>0.0</v>
      </c>
      <c r="G66" s="76" t="str">
        <f>IF(INDEX(of_ref,60)="","",INDEX(of_etat,60)&amp;"")</f>
        <v/>
      </c>
      <c r="I66" s="78" t="str">
        <f>IF(AND($D66&gt;0,I$6&gt;=$D66,I$6&lt;=$E66),1,IF(AND($F66&gt;0,I$6=$F66),"◆",""))</f>
        <v/>
      </c>
      <c r="J66" s="78" t="str">
        <f>IF(AND($D66&gt;0,J$6&gt;=$D66,J$6&lt;=$E66),1,IF(AND($F66&gt;0,J$6=$F66),"◆",""))</f>
        <v/>
      </c>
      <c r="K66" s="78" t="str">
        <f>IF(AND($D66&gt;0,K$6&gt;=$D66,K$6&lt;=$E66),1,IF(AND($F66&gt;0,K$6=$F66),"◆",""))</f>
        <v/>
      </c>
      <c r="L66" s="78" t="str">
        <f>IF(AND($D66&gt;0,L$6&gt;=$D66,L$6&lt;=$E66),1,IF(AND($F66&gt;0,L$6=$F66),"◆",""))</f>
        <v/>
      </c>
      <c r="M66" s="78" t="str">
        <f>IF(AND($D66&gt;0,M$6&gt;=$D66,M$6&lt;=$E66),1,IF(AND($F66&gt;0,M$6=$F66),"◆",""))</f>
        <v/>
      </c>
      <c r="N66" s="78" t="str">
        <f>IF(AND($D66&gt;0,N$6&gt;=$D66,N$6&lt;=$E66),1,IF(AND($F66&gt;0,N$6=$F66),"◆",""))</f>
        <v/>
      </c>
      <c r="O66" s="78" t="str">
        <f>IF(AND($D66&gt;0,O$6&gt;=$D66,O$6&lt;=$E66),1,IF(AND($F66&gt;0,O$6=$F66),"◆",""))</f>
        <v/>
      </c>
      <c r="P66" s="78" t="str">
        <f>IF(AND($D66&gt;0,P$6&gt;=$D66,P$6&lt;=$E66),1,IF(AND($F66&gt;0,P$6=$F66),"◆",""))</f>
        <v/>
      </c>
      <c r="Q66" s="78" t="str">
        <f>IF(AND($D66&gt;0,Q$6&gt;=$D66,Q$6&lt;=$E66),1,IF(AND($F66&gt;0,Q$6=$F66),"◆",""))</f>
        <v/>
      </c>
      <c r="R66" s="78" t="str">
        <f>IF(AND($D66&gt;0,R$6&gt;=$D66,R$6&lt;=$E66),1,IF(AND($F66&gt;0,R$6=$F66),"◆",""))</f>
        <v/>
      </c>
      <c r="S66" s="78" t="str">
        <f>IF(AND($D66&gt;0,S$6&gt;=$D66,S$6&lt;=$E66),1,IF(AND($F66&gt;0,S$6=$F66),"◆",""))</f>
        <v/>
      </c>
      <c r="T66" s="78" t="str">
        <f>IF(AND($D66&gt;0,T$6&gt;=$D66,T$6&lt;=$E66),1,IF(AND($F66&gt;0,T$6=$F66),"◆",""))</f>
        <v/>
      </c>
      <c r="U66" s="78" t="str">
        <f>IF(AND($D66&gt;0,U$6&gt;=$D66,U$6&lt;=$E66),1,IF(AND($F66&gt;0,U$6=$F66),"◆",""))</f>
        <v/>
      </c>
      <c r="V66" s="78" t="str">
        <f>IF(AND($D66&gt;0,V$6&gt;=$D66,V$6&lt;=$E66),1,IF(AND($F66&gt;0,V$6=$F66),"◆",""))</f>
        <v/>
      </c>
      <c r="W66" s="78" t="str">
        <f>IF(AND($D66&gt;0,W$6&gt;=$D66,W$6&lt;=$E66),1,IF(AND($F66&gt;0,W$6=$F66),"◆",""))</f>
        <v/>
      </c>
      <c r="X66" s="78" t="str">
        <f>IF(AND($D66&gt;0,X$6&gt;=$D66,X$6&lt;=$E66),1,IF(AND($F66&gt;0,X$6=$F66),"◆",""))</f>
        <v/>
      </c>
      <c r="Y66" s="78" t="str">
        <f>IF(AND($D66&gt;0,Y$6&gt;=$D66,Y$6&lt;=$E66),1,IF(AND($F66&gt;0,Y$6=$F66),"◆",""))</f>
        <v/>
      </c>
      <c r="Z66" s="78" t="str">
        <f>IF(AND($D66&gt;0,Z$6&gt;=$D66,Z$6&lt;=$E66),1,IF(AND($F66&gt;0,Z$6=$F66),"◆",""))</f>
        <v/>
      </c>
      <c r="AA66" s="78" t="str">
        <f>IF(AND($D66&gt;0,AA$6&gt;=$D66,AA$6&lt;=$E66),1,IF(AND($F66&gt;0,AA$6=$F66),"◆",""))</f>
        <v/>
      </c>
      <c r="AB66" s="78" t="str">
        <f>IF(AND($D66&gt;0,AB$6&gt;=$D66,AB$6&lt;=$E66),1,IF(AND($F66&gt;0,AB$6=$F66),"◆",""))</f>
        <v/>
      </c>
      <c r="AC66" s="78" t="str">
        <f>IF(AND($D66&gt;0,AC$6&gt;=$D66,AC$6&lt;=$E66),1,IF(AND($F66&gt;0,AC$6=$F66),"◆",""))</f>
        <v/>
      </c>
      <c r="AD66" s="78" t="str">
        <f>IF(AND($D66&gt;0,AD$6&gt;=$D66,AD$6&lt;=$E66),1,IF(AND($F66&gt;0,AD$6=$F66),"◆",""))</f>
        <v/>
      </c>
      <c r="AE66" s="78" t="str">
        <f>IF(AND($D66&gt;0,AE$6&gt;=$D66,AE$6&lt;=$E66),1,IF(AND($F66&gt;0,AE$6=$F66),"◆",""))</f>
        <v/>
      </c>
      <c r="AF66" s="78" t="str">
        <f>IF(AND($D66&gt;0,AF$6&gt;=$D66,AF$6&lt;=$E66),1,IF(AND($F66&gt;0,AF$6=$F66),"◆",""))</f>
        <v/>
      </c>
      <c r="AG66" s="78" t="str">
        <f>IF(AND($D66&gt;0,AG$6&gt;=$D66,AG$6&lt;=$E66),1,IF(AND($F66&gt;0,AG$6=$F66),"◆",""))</f>
        <v/>
      </c>
      <c r="AH66" s="78" t="str">
        <f>IF(AND($D66&gt;0,AH$6&gt;=$D66,AH$6&lt;=$E66),1,IF(AND($F66&gt;0,AH$6=$F66),"◆",""))</f>
        <v/>
      </c>
      <c r="AI66" s="78" t="str">
        <f>IF(AND($D66&gt;0,AI$6&gt;=$D66,AI$6&lt;=$E66),1,IF(AND($F66&gt;0,AI$6=$F66),"◆",""))</f>
        <v/>
      </c>
      <c r="AJ66" s="78" t="str">
        <f>IF(AND($D66&gt;0,AJ$6&gt;=$D66,AJ$6&lt;=$E66),1,IF(AND($F66&gt;0,AJ$6=$F66),"◆",""))</f>
        <v/>
      </c>
      <c r="AK66" s="78" t="str">
        <f>IF(AND($D66&gt;0,AK$6&gt;=$D66,AK$6&lt;=$E66),1,IF(AND($F66&gt;0,AK$6=$F66),"◆",""))</f>
        <v/>
      </c>
      <c r="AL66" s="78" t="str">
        <f>IF(AND($D66&gt;0,AL$6&gt;=$D66,AL$6&lt;=$E66),1,IF(AND($F66&gt;0,AL$6=$F66),"◆",""))</f>
        <v/>
      </c>
      <c r="AM66" s="78" t="str">
        <f>IF(AND($D66&gt;0,AM$6&gt;=$D66,AM$6&lt;=$E66),1,IF(AND($F66&gt;0,AM$6=$F66),"◆",""))</f>
        <v/>
      </c>
      <c r="AN66" s="78" t="str">
        <f>IF(AND($D66&gt;0,AN$6&gt;=$D66,AN$6&lt;=$E66),1,IF(AND($F66&gt;0,AN$6=$F66),"◆",""))</f>
        <v/>
      </c>
      <c r="AO66" s="78" t="str">
        <f>IF(AND($D66&gt;0,AO$6&gt;=$D66,AO$6&lt;=$E66),1,IF(AND($F66&gt;0,AO$6=$F66),"◆",""))</f>
        <v/>
      </c>
      <c r="AP66" s="78" t="str">
        <f>IF(AND($D66&gt;0,AP$6&gt;=$D66,AP$6&lt;=$E66),1,IF(AND($F66&gt;0,AP$6=$F66),"◆",""))</f>
        <v/>
      </c>
      <c r="AQ66" s="78" t="str">
        <f>IF(AND($D66&gt;0,AQ$6&gt;=$D66,AQ$6&lt;=$E66),1,IF(AND($F66&gt;0,AQ$6=$F66),"◆",""))</f>
        <v/>
      </c>
      <c r="AR66" s="78" t="str">
        <f>IF(AND($D66&gt;0,AR$6&gt;=$D66,AR$6&lt;=$E66),1,IF(AND($F66&gt;0,AR$6=$F66),"◆",""))</f>
        <v/>
      </c>
      <c r="AS66" s="78" t="str">
        <f>IF(AND($D66&gt;0,AS$6&gt;=$D66,AS$6&lt;=$E66),1,IF(AND($F66&gt;0,AS$6=$F66),"◆",""))</f>
        <v/>
      </c>
      <c r="AT66" s="78" t="str">
        <f>IF(AND($D66&gt;0,AT$6&gt;=$D66,AT$6&lt;=$E66),1,IF(AND($F66&gt;0,AT$6=$F66),"◆",""))</f>
        <v/>
      </c>
      <c r="AU66" s="78" t="str">
        <f>IF(AND($D66&gt;0,AU$6&gt;=$D66,AU$6&lt;=$E66),1,IF(AND($F66&gt;0,AU$6=$F66),"◆",""))</f>
        <v/>
      </c>
      <c r="AV66" s="78" t="str">
        <f>IF(AND($D66&gt;0,AV$6&gt;=$D66,AV$6&lt;=$E66),1,IF(AND($F66&gt;0,AV$6=$F66),"◆",""))</f>
        <v/>
      </c>
      <c r="AW66" s="78" t="str">
        <f>IF(AND($D66&gt;0,AW$6&gt;=$D66,AW$6&lt;=$E66),1,IF(AND($F66&gt;0,AW$6=$F66),"◆",""))</f>
        <v/>
      </c>
      <c r="AX66" s="78" t="str">
        <f>IF(AND($D66&gt;0,AX$6&gt;=$D66,AX$6&lt;=$E66),1,IF(AND($F66&gt;0,AX$6=$F66),"◆",""))</f>
        <v/>
      </c>
      <c r="AY66" s="78" t="str">
        <f>IF(AND($D66&gt;0,AY$6&gt;=$D66,AY$6&lt;=$E66),1,IF(AND($F66&gt;0,AY$6=$F66),"◆",""))</f>
        <v/>
      </c>
      <c r="AZ66" s="78" t="str">
        <f>IF(AND($D66&gt;0,AZ$6&gt;=$D66,AZ$6&lt;=$E66),1,IF(AND($F66&gt;0,AZ$6=$F66),"◆",""))</f>
        <v/>
      </c>
      <c r="BA66" s="78" t="str">
        <f>IF(AND($D66&gt;0,BA$6&gt;=$D66,BA$6&lt;=$E66),1,IF(AND($F66&gt;0,BA$6=$F66),"◆",""))</f>
        <v/>
      </c>
      <c r="BB66" s="78" t="str">
        <f>IF(AND($D66&gt;0,BB$6&gt;=$D66,BB$6&lt;=$E66),1,IF(AND($F66&gt;0,BB$6=$F66),"◆",""))</f>
        <v/>
      </c>
      <c r="BC66" s="78" t="str">
        <f>IF(AND($D66&gt;0,BC$6&gt;=$D66,BC$6&lt;=$E66),1,IF(AND($F66&gt;0,BC$6=$F66),"◆",""))</f>
        <v/>
      </c>
      <c r="BD66" s="78" t="str">
        <f>IF(AND($D66&gt;0,BD$6&gt;=$D66,BD$6&lt;=$E66),1,IF(AND($F66&gt;0,BD$6=$F66),"◆",""))</f>
        <v/>
      </c>
      <c r="BE66" s="78" t="str">
        <f>IF(AND($D66&gt;0,BE$6&gt;=$D66,BE$6&lt;=$E66),1,IF(AND($F66&gt;0,BE$6=$F66),"◆",""))</f>
        <v/>
      </c>
      <c r="BF66" s="78" t="str">
        <f>IF(AND($D66&gt;0,BF$6&gt;=$D66,BF$6&lt;=$E66),1,IF(AND($F66&gt;0,BF$6=$F66),"◆",""))</f>
        <v/>
      </c>
      <c r="BG66" s="78" t="str">
        <f>IF(AND($D66&gt;0,BG$6&gt;=$D66,BG$6&lt;=$E66),1,IF(AND($F66&gt;0,BG$6=$F66),"◆",""))</f>
        <v/>
      </c>
      <c r="BH66" s="78" t="str">
        <f>IF(AND($D66&gt;0,BH$6&gt;=$D66,BH$6&lt;=$E66),1,IF(AND($F66&gt;0,BH$6=$F66),"◆",""))</f>
        <v/>
      </c>
      <c r="BI66" s="78" t="str">
        <f>IF(AND($D66&gt;0,BI$6&gt;=$D66,BI$6&lt;=$E66),1,IF(AND($F66&gt;0,BI$6=$F66),"◆",""))</f>
        <v/>
      </c>
      <c r="BJ66" s="78" t="str">
        <f>IF(AND($D66&gt;0,BJ$6&gt;=$D66,BJ$6&lt;=$E66),1,IF(AND($F66&gt;0,BJ$6=$F66),"◆",""))</f>
        <v/>
      </c>
      <c r="BK66" s="78" t="str">
        <f>IF(AND($D66&gt;0,BK$6&gt;=$D66,BK$6&lt;=$E66),1,IF(AND($F66&gt;0,BK$6=$F66),"◆",""))</f>
        <v/>
      </c>
      <c r="BL66" s="78" t="str">
        <f>IF(AND($D66&gt;0,BL$6&gt;=$D66,BL$6&lt;=$E66),1,IF(AND($F66&gt;0,BL$6=$F66),"◆",""))</f>
        <v/>
      </c>
      <c r="BM66" s="78" t="str">
        <f>IF(AND($D66&gt;0,BM$6&gt;=$D66,BM$6&lt;=$E66),1,IF(AND($F66&gt;0,BM$6=$F66),"◆",""))</f>
        <v/>
      </c>
      <c r="BN66" s="78" t="str">
        <f>IF(AND($D66&gt;0,BN$6&gt;=$D66,BN$6&lt;=$E66),1,IF(AND($F66&gt;0,BN$6=$F66),"◆",""))</f>
        <v/>
      </c>
      <c r="BO66" s="78" t="str">
        <f>IF(AND($D66&gt;0,BO$6&gt;=$D66,BO$6&lt;=$E66),1,IF(AND($F66&gt;0,BO$6=$F66),"◆",""))</f>
        <v/>
      </c>
      <c r="BP66" s="78" t="str">
        <f>IF(AND($D66&gt;0,BP$6&gt;=$D66,BP$6&lt;=$E66),1,IF(AND($F66&gt;0,BP$6=$F66),"◆",""))</f>
        <v/>
      </c>
    </row>
    <row r="67">
      <c r="A67" s="75" t="str">
        <f>IF(INDEX(of_ref,61)="","",INDEX(of_num,61)&amp;"")</f>
        <v/>
      </c>
      <c r="B67" s="75" t="str">
        <f>IF(INDEX(of_ref,61)="","",INDEX(of_des,61)&amp;"")</f>
        <v/>
      </c>
      <c r="C67" s="76" t="str">
        <f>IF(INDEX(of_ref,61)="","",INDEX(of_poste,61)&amp;"")</f>
        <v/>
      </c>
      <c r="D67" s="77">
        <f>INDEX(of_start,61)</f>
        <v>0.0</v>
      </c>
      <c r="E67" s="77">
        <f>INDEX(of_end,61)</f>
        <v>0.0</v>
      </c>
      <c r="F67" s="77">
        <f>IF(N(INDEX(of_need,61))=0,0,INDEX(of_need,61))</f>
        <v>0.0</v>
      </c>
      <c r="G67" s="76" t="str">
        <f>IF(INDEX(of_ref,61)="","",INDEX(of_etat,61)&amp;"")</f>
        <v/>
      </c>
      <c r="I67" s="78" t="str">
        <f>IF(AND($D67&gt;0,I$6&gt;=$D67,I$6&lt;=$E67),1,IF(AND($F67&gt;0,I$6=$F67),"◆",""))</f>
        <v/>
      </c>
      <c r="J67" s="78" t="str">
        <f>IF(AND($D67&gt;0,J$6&gt;=$D67,J$6&lt;=$E67),1,IF(AND($F67&gt;0,J$6=$F67),"◆",""))</f>
        <v/>
      </c>
      <c r="K67" s="78" t="str">
        <f>IF(AND($D67&gt;0,K$6&gt;=$D67,K$6&lt;=$E67),1,IF(AND($F67&gt;0,K$6=$F67),"◆",""))</f>
        <v/>
      </c>
      <c r="L67" s="78" t="str">
        <f>IF(AND($D67&gt;0,L$6&gt;=$D67,L$6&lt;=$E67),1,IF(AND($F67&gt;0,L$6=$F67),"◆",""))</f>
        <v/>
      </c>
      <c r="M67" s="78" t="str">
        <f>IF(AND($D67&gt;0,M$6&gt;=$D67,M$6&lt;=$E67),1,IF(AND($F67&gt;0,M$6=$F67),"◆",""))</f>
        <v/>
      </c>
      <c r="N67" s="78" t="str">
        <f>IF(AND($D67&gt;0,N$6&gt;=$D67,N$6&lt;=$E67),1,IF(AND($F67&gt;0,N$6=$F67),"◆",""))</f>
        <v/>
      </c>
      <c r="O67" s="78" t="str">
        <f>IF(AND($D67&gt;0,O$6&gt;=$D67,O$6&lt;=$E67),1,IF(AND($F67&gt;0,O$6=$F67),"◆",""))</f>
        <v/>
      </c>
      <c r="P67" s="78" t="str">
        <f>IF(AND($D67&gt;0,P$6&gt;=$D67,P$6&lt;=$E67),1,IF(AND($F67&gt;0,P$6=$F67),"◆",""))</f>
        <v/>
      </c>
      <c r="Q67" s="78" t="str">
        <f>IF(AND($D67&gt;0,Q$6&gt;=$D67,Q$6&lt;=$E67),1,IF(AND($F67&gt;0,Q$6=$F67),"◆",""))</f>
        <v/>
      </c>
      <c r="R67" s="78" t="str">
        <f>IF(AND($D67&gt;0,R$6&gt;=$D67,R$6&lt;=$E67),1,IF(AND($F67&gt;0,R$6=$F67),"◆",""))</f>
        <v/>
      </c>
      <c r="S67" s="78" t="str">
        <f>IF(AND($D67&gt;0,S$6&gt;=$D67,S$6&lt;=$E67),1,IF(AND($F67&gt;0,S$6=$F67),"◆",""))</f>
        <v/>
      </c>
      <c r="T67" s="78" t="str">
        <f>IF(AND($D67&gt;0,T$6&gt;=$D67,T$6&lt;=$E67),1,IF(AND($F67&gt;0,T$6=$F67),"◆",""))</f>
        <v/>
      </c>
      <c r="U67" s="78" t="str">
        <f>IF(AND($D67&gt;0,U$6&gt;=$D67,U$6&lt;=$E67),1,IF(AND($F67&gt;0,U$6=$F67),"◆",""))</f>
        <v/>
      </c>
      <c r="V67" s="78" t="str">
        <f>IF(AND($D67&gt;0,V$6&gt;=$D67,V$6&lt;=$E67),1,IF(AND($F67&gt;0,V$6=$F67),"◆",""))</f>
        <v/>
      </c>
      <c r="W67" s="78" t="str">
        <f>IF(AND($D67&gt;0,W$6&gt;=$D67,W$6&lt;=$E67),1,IF(AND($F67&gt;0,W$6=$F67),"◆",""))</f>
        <v/>
      </c>
      <c r="X67" s="78" t="str">
        <f>IF(AND($D67&gt;0,X$6&gt;=$D67,X$6&lt;=$E67),1,IF(AND($F67&gt;0,X$6=$F67),"◆",""))</f>
        <v/>
      </c>
      <c r="Y67" s="78" t="str">
        <f>IF(AND($D67&gt;0,Y$6&gt;=$D67,Y$6&lt;=$E67),1,IF(AND($F67&gt;0,Y$6=$F67),"◆",""))</f>
        <v/>
      </c>
      <c r="Z67" s="78" t="str">
        <f>IF(AND($D67&gt;0,Z$6&gt;=$D67,Z$6&lt;=$E67),1,IF(AND($F67&gt;0,Z$6=$F67),"◆",""))</f>
        <v/>
      </c>
      <c r="AA67" s="78" t="str">
        <f>IF(AND($D67&gt;0,AA$6&gt;=$D67,AA$6&lt;=$E67),1,IF(AND($F67&gt;0,AA$6=$F67),"◆",""))</f>
        <v/>
      </c>
      <c r="AB67" s="78" t="str">
        <f>IF(AND($D67&gt;0,AB$6&gt;=$D67,AB$6&lt;=$E67),1,IF(AND($F67&gt;0,AB$6=$F67),"◆",""))</f>
        <v/>
      </c>
      <c r="AC67" s="78" t="str">
        <f>IF(AND($D67&gt;0,AC$6&gt;=$D67,AC$6&lt;=$E67),1,IF(AND($F67&gt;0,AC$6=$F67),"◆",""))</f>
        <v/>
      </c>
      <c r="AD67" s="78" t="str">
        <f>IF(AND($D67&gt;0,AD$6&gt;=$D67,AD$6&lt;=$E67),1,IF(AND($F67&gt;0,AD$6=$F67),"◆",""))</f>
        <v/>
      </c>
      <c r="AE67" s="78" t="str">
        <f>IF(AND($D67&gt;0,AE$6&gt;=$D67,AE$6&lt;=$E67),1,IF(AND($F67&gt;0,AE$6=$F67),"◆",""))</f>
        <v/>
      </c>
      <c r="AF67" s="78" t="str">
        <f>IF(AND($D67&gt;0,AF$6&gt;=$D67,AF$6&lt;=$E67),1,IF(AND($F67&gt;0,AF$6=$F67),"◆",""))</f>
        <v/>
      </c>
      <c r="AG67" s="78" t="str">
        <f>IF(AND($D67&gt;0,AG$6&gt;=$D67,AG$6&lt;=$E67),1,IF(AND($F67&gt;0,AG$6=$F67),"◆",""))</f>
        <v/>
      </c>
      <c r="AH67" s="78" t="str">
        <f>IF(AND($D67&gt;0,AH$6&gt;=$D67,AH$6&lt;=$E67),1,IF(AND($F67&gt;0,AH$6=$F67),"◆",""))</f>
        <v/>
      </c>
      <c r="AI67" s="78" t="str">
        <f>IF(AND($D67&gt;0,AI$6&gt;=$D67,AI$6&lt;=$E67),1,IF(AND($F67&gt;0,AI$6=$F67),"◆",""))</f>
        <v/>
      </c>
      <c r="AJ67" s="78" t="str">
        <f>IF(AND($D67&gt;0,AJ$6&gt;=$D67,AJ$6&lt;=$E67),1,IF(AND($F67&gt;0,AJ$6=$F67),"◆",""))</f>
        <v/>
      </c>
      <c r="AK67" s="78" t="str">
        <f>IF(AND($D67&gt;0,AK$6&gt;=$D67,AK$6&lt;=$E67),1,IF(AND($F67&gt;0,AK$6=$F67),"◆",""))</f>
        <v/>
      </c>
      <c r="AL67" s="78" t="str">
        <f>IF(AND($D67&gt;0,AL$6&gt;=$D67,AL$6&lt;=$E67),1,IF(AND($F67&gt;0,AL$6=$F67),"◆",""))</f>
        <v/>
      </c>
      <c r="AM67" s="78" t="str">
        <f>IF(AND($D67&gt;0,AM$6&gt;=$D67,AM$6&lt;=$E67),1,IF(AND($F67&gt;0,AM$6=$F67),"◆",""))</f>
        <v/>
      </c>
      <c r="AN67" s="78" t="str">
        <f>IF(AND($D67&gt;0,AN$6&gt;=$D67,AN$6&lt;=$E67),1,IF(AND($F67&gt;0,AN$6=$F67),"◆",""))</f>
        <v/>
      </c>
      <c r="AO67" s="78" t="str">
        <f>IF(AND($D67&gt;0,AO$6&gt;=$D67,AO$6&lt;=$E67),1,IF(AND($F67&gt;0,AO$6=$F67),"◆",""))</f>
        <v/>
      </c>
      <c r="AP67" s="78" t="str">
        <f>IF(AND($D67&gt;0,AP$6&gt;=$D67,AP$6&lt;=$E67),1,IF(AND($F67&gt;0,AP$6=$F67),"◆",""))</f>
        <v/>
      </c>
      <c r="AQ67" s="78" t="str">
        <f>IF(AND($D67&gt;0,AQ$6&gt;=$D67,AQ$6&lt;=$E67),1,IF(AND($F67&gt;0,AQ$6=$F67),"◆",""))</f>
        <v/>
      </c>
      <c r="AR67" s="78" t="str">
        <f>IF(AND($D67&gt;0,AR$6&gt;=$D67,AR$6&lt;=$E67),1,IF(AND($F67&gt;0,AR$6=$F67),"◆",""))</f>
        <v/>
      </c>
      <c r="AS67" s="78" t="str">
        <f>IF(AND($D67&gt;0,AS$6&gt;=$D67,AS$6&lt;=$E67),1,IF(AND($F67&gt;0,AS$6=$F67),"◆",""))</f>
        <v/>
      </c>
      <c r="AT67" s="78" t="str">
        <f>IF(AND($D67&gt;0,AT$6&gt;=$D67,AT$6&lt;=$E67),1,IF(AND($F67&gt;0,AT$6=$F67),"◆",""))</f>
        <v/>
      </c>
      <c r="AU67" s="78" t="str">
        <f>IF(AND($D67&gt;0,AU$6&gt;=$D67,AU$6&lt;=$E67),1,IF(AND($F67&gt;0,AU$6=$F67),"◆",""))</f>
        <v/>
      </c>
      <c r="AV67" s="78" t="str">
        <f>IF(AND($D67&gt;0,AV$6&gt;=$D67,AV$6&lt;=$E67),1,IF(AND($F67&gt;0,AV$6=$F67),"◆",""))</f>
        <v/>
      </c>
      <c r="AW67" s="78" t="str">
        <f>IF(AND($D67&gt;0,AW$6&gt;=$D67,AW$6&lt;=$E67),1,IF(AND($F67&gt;0,AW$6=$F67),"◆",""))</f>
        <v/>
      </c>
      <c r="AX67" s="78" t="str">
        <f>IF(AND($D67&gt;0,AX$6&gt;=$D67,AX$6&lt;=$E67),1,IF(AND($F67&gt;0,AX$6=$F67),"◆",""))</f>
        <v/>
      </c>
      <c r="AY67" s="78" t="str">
        <f>IF(AND($D67&gt;0,AY$6&gt;=$D67,AY$6&lt;=$E67),1,IF(AND($F67&gt;0,AY$6=$F67),"◆",""))</f>
        <v/>
      </c>
      <c r="AZ67" s="78" t="str">
        <f>IF(AND($D67&gt;0,AZ$6&gt;=$D67,AZ$6&lt;=$E67),1,IF(AND($F67&gt;0,AZ$6=$F67),"◆",""))</f>
        <v/>
      </c>
      <c r="BA67" s="78" t="str">
        <f>IF(AND($D67&gt;0,BA$6&gt;=$D67,BA$6&lt;=$E67),1,IF(AND($F67&gt;0,BA$6=$F67),"◆",""))</f>
        <v/>
      </c>
      <c r="BB67" s="78" t="str">
        <f>IF(AND($D67&gt;0,BB$6&gt;=$D67,BB$6&lt;=$E67),1,IF(AND($F67&gt;0,BB$6=$F67),"◆",""))</f>
        <v/>
      </c>
      <c r="BC67" s="78" t="str">
        <f>IF(AND($D67&gt;0,BC$6&gt;=$D67,BC$6&lt;=$E67),1,IF(AND($F67&gt;0,BC$6=$F67),"◆",""))</f>
        <v/>
      </c>
      <c r="BD67" s="78" t="str">
        <f>IF(AND($D67&gt;0,BD$6&gt;=$D67,BD$6&lt;=$E67),1,IF(AND($F67&gt;0,BD$6=$F67),"◆",""))</f>
        <v/>
      </c>
      <c r="BE67" s="78" t="str">
        <f>IF(AND($D67&gt;0,BE$6&gt;=$D67,BE$6&lt;=$E67),1,IF(AND($F67&gt;0,BE$6=$F67),"◆",""))</f>
        <v/>
      </c>
      <c r="BF67" s="78" t="str">
        <f>IF(AND($D67&gt;0,BF$6&gt;=$D67,BF$6&lt;=$E67),1,IF(AND($F67&gt;0,BF$6=$F67),"◆",""))</f>
        <v/>
      </c>
      <c r="BG67" s="78" t="str">
        <f>IF(AND($D67&gt;0,BG$6&gt;=$D67,BG$6&lt;=$E67),1,IF(AND($F67&gt;0,BG$6=$F67),"◆",""))</f>
        <v/>
      </c>
      <c r="BH67" s="78" t="str">
        <f>IF(AND($D67&gt;0,BH$6&gt;=$D67,BH$6&lt;=$E67),1,IF(AND($F67&gt;0,BH$6=$F67),"◆",""))</f>
        <v/>
      </c>
      <c r="BI67" s="78" t="str">
        <f>IF(AND($D67&gt;0,BI$6&gt;=$D67,BI$6&lt;=$E67),1,IF(AND($F67&gt;0,BI$6=$F67),"◆",""))</f>
        <v/>
      </c>
      <c r="BJ67" s="78" t="str">
        <f>IF(AND($D67&gt;0,BJ$6&gt;=$D67,BJ$6&lt;=$E67),1,IF(AND($F67&gt;0,BJ$6=$F67),"◆",""))</f>
        <v/>
      </c>
      <c r="BK67" s="78" t="str">
        <f>IF(AND($D67&gt;0,BK$6&gt;=$D67,BK$6&lt;=$E67),1,IF(AND($F67&gt;0,BK$6=$F67),"◆",""))</f>
        <v/>
      </c>
      <c r="BL67" s="78" t="str">
        <f>IF(AND($D67&gt;0,BL$6&gt;=$D67,BL$6&lt;=$E67),1,IF(AND($F67&gt;0,BL$6=$F67),"◆",""))</f>
        <v/>
      </c>
      <c r="BM67" s="78" t="str">
        <f>IF(AND($D67&gt;0,BM$6&gt;=$D67,BM$6&lt;=$E67),1,IF(AND($F67&gt;0,BM$6=$F67),"◆",""))</f>
        <v/>
      </c>
      <c r="BN67" s="78" t="str">
        <f>IF(AND($D67&gt;0,BN$6&gt;=$D67,BN$6&lt;=$E67),1,IF(AND($F67&gt;0,BN$6=$F67),"◆",""))</f>
        <v/>
      </c>
      <c r="BO67" s="78" t="str">
        <f>IF(AND($D67&gt;0,BO$6&gt;=$D67,BO$6&lt;=$E67),1,IF(AND($F67&gt;0,BO$6=$F67),"◆",""))</f>
        <v/>
      </c>
      <c r="BP67" s="78" t="str">
        <f>IF(AND($D67&gt;0,BP$6&gt;=$D67,BP$6&lt;=$E67),1,IF(AND($F67&gt;0,BP$6=$F67),"◆",""))</f>
        <v/>
      </c>
    </row>
    <row r="68">
      <c r="A68" s="75" t="str">
        <f>IF(INDEX(of_ref,62)="","",INDEX(of_num,62)&amp;"")</f>
        <v/>
      </c>
      <c r="B68" s="75" t="str">
        <f>IF(INDEX(of_ref,62)="","",INDEX(of_des,62)&amp;"")</f>
        <v/>
      </c>
      <c r="C68" s="76" t="str">
        <f>IF(INDEX(of_ref,62)="","",INDEX(of_poste,62)&amp;"")</f>
        <v/>
      </c>
      <c r="D68" s="77">
        <f>INDEX(of_start,62)</f>
        <v>0.0</v>
      </c>
      <c r="E68" s="77">
        <f>INDEX(of_end,62)</f>
        <v>0.0</v>
      </c>
      <c r="F68" s="77">
        <f>IF(N(INDEX(of_need,62))=0,0,INDEX(of_need,62))</f>
        <v>0.0</v>
      </c>
      <c r="G68" s="76" t="str">
        <f>IF(INDEX(of_ref,62)="","",INDEX(of_etat,62)&amp;"")</f>
        <v/>
      </c>
      <c r="I68" s="78" t="str">
        <f>IF(AND($D68&gt;0,I$6&gt;=$D68,I$6&lt;=$E68),1,IF(AND($F68&gt;0,I$6=$F68),"◆",""))</f>
        <v/>
      </c>
      <c r="J68" s="78" t="str">
        <f>IF(AND($D68&gt;0,J$6&gt;=$D68,J$6&lt;=$E68),1,IF(AND($F68&gt;0,J$6=$F68),"◆",""))</f>
        <v/>
      </c>
      <c r="K68" s="78" t="str">
        <f>IF(AND($D68&gt;0,K$6&gt;=$D68,K$6&lt;=$E68),1,IF(AND($F68&gt;0,K$6=$F68),"◆",""))</f>
        <v/>
      </c>
      <c r="L68" s="78" t="str">
        <f>IF(AND($D68&gt;0,L$6&gt;=$D68,L$6&lt;=$E68),1,IF(AND($F68&gt;0,L$6=$F68),"◆",""))</f>
        <v/>
      </c>
      <c r="M68" s="78" t="str">
        <f>IF(AND($D68&gt;0,M$6&gt;=$D68,M$6&lt;=$E68),1,IF(AND($F68&gt;0,M$6=$F68),"◆",""))</f>
        <v/>
      </c>
      <c r="N68" s="78" t="str">
        <f>IF(AND($D68&gt;0,N$6&gt;=$D68,N$6&lt;=$E68),1,IF(AND($F68&gt;0,N$6=$F68),"◆",""))</f>
        <v/>
      </c>
      <c r="O68" s="78" t="str">
        <f>IF(AND($D68&gt;0,O$6&gt;=$D68,O$6&lt;=$E68),1,IF(AND($F68&gt;0,O$6=$F68),"◆",""))</f>
        <v/>
      </c>
      <c r="P68" s="78" t="str">
        <f>IF(AND($D68&gt;0,P$6&gt;=$D68,P$6&lt;=$E68),1,IF(AND($F68&gt;0,P$6=$F68),"◆",""))</f>
        <v/>
      </c>
      <c r="Q68" s="78" t="str">
        <f>IF(AND($D68&gt;0,Q$6&gt;=$D68,Q$6&lt;=$E68),1,IF(AND($F68&gt;0,Q$6=$F68),"◆",""))</f>
        <v/>
      </c>
      <c r="R68" s="78" t="str">
        <f>IF(AND($D68&gt;0,R$6&gt;=$D68,R$6&lt;=$E68),1,IF(AND($F68&gt;0,R$6=$F68),"◆",""))</f>
        <v/>
      </c>
      <c r="S68" s="78" t="str">
        <f>IF(AND($D68&gt;0,S$6&gt;=$D68,S$6&lt;=$E68),1,IF(AND($F68&gt;0,S$6=$F68),"◆",""))</f>
        <v/>
      </c>
      <c r="T68" s="78" t="str">
        <f>IF(AND($D68&gt;0,T$6&gt;=$D68,T$6&lt;=$E68),1,IF(AND($F68&gt;0,T$6=$F68),"◆",""))</f>
        <v/>
      </c>
      <c r="U68" s="78" t="str">
        <f>IF(AND($D68&gt;0,U$6&gt;=$D68,U$6&lt;=$E68),1,IF(AND($F68&gt;0,U$6=$F68),"◆",""))</f>
        <v/>
      </c>
      <c r="V68" s="78" t="str">
        <f>IF(AND($D68&gt;0,V$6&gt;=$D68,V$6&lt;=$E68),1,IF(AND($F68&gt;0,V$6=$F68),"◆",""))</f>
        <v/>
      </c>
      <c r="W68" s="78" t="str">
        <f>IF(AND($D68&gt;0,W$6&gt;=$D68,W$6&lt;=$E68),1,IF(AND($F68&gt;0,W$6=$F68),"◆",""))</f>
        <v/>
      </c>
      <c r="X68" s="78" t="str">
        <f>IF(AND($D68&gt;0,X$6&gt;=$D68,X$6&lt;=$E68),1,IF(AND($F68&gt;0,X$6=$F68),"◆",""))</f>
        <v/>
      </c>
      <c r="Y68" s="78" t="str">
        <f>IF(AND($D68&gt;0,Y$6&gt;=$D68,Y$6&lt;=$E68),1,IF(AND($F68&gt;0,Y$6=$F68),"◆",""))</f>
        <v/>
      </c>
      <c r="Z68" s="78" t="str">
        <f>IF(AND($D68&gt;0,Z$6&gt;=$D68,Z$6&lt;=$E68),1,IF(AND($F68&gt;0,Z$6=$F68),"◆",""))</f>
        <v/>
      </c>
      <c r="AA68" s="78" t="str">
        <f>IF(AND($D68&gt;0,AA$6&gt;=$D68,AA$6&lt;=$E68),1,IF(AND($F68&gt;0,AA$6=$F68),"◆",""))</f>
        <v/>
      </c>
      <c r="AB68" s="78" t="str">
        <f>IF(AND($D68&gt;0,AB$6&gt;=$D68,AB$6&lt;=$E68),1,IF(AND($F68&gt;0,AB$6=$F68),"◆",""))</f>
        <v/>
      </c>
      <c r="AC68" s="78" t="str">
        <f>IF(AND($D68&gt;0,AC$6&gt;=$D68,AC$6&lt;=$E68),1,IF(AND($F68&gt;0,AC$6=$F68),"◆",""))</f>
        <v/>
      </c>
      <c r="AD68" s="78" t="str">
        <f>IF(AND($D68&gt;0,AD$6&gt;=$D68,AD$6&lt;=$E68),1,IF(AND($F68&gt;0,AD$6=$F68),"◆",""))</f>
        <v/>
      </c>
      <c r="AE68" s="78" t="str">
        <f>IF(AND($D68&gt;0,AE$6&gt;=$D68,AE$6&lt;=$E68),1,IF(AND($F68&gt;0,AE$6=$F68),"◆",""))</f>
        <v/>
      </c>
      <c r="AF68" s="78" t="str">
        <f>IF(AND($D68&gt;0,AF$6&gt;=$D68,AF$6&lt;=$E68),1,IF(AND($F68&gt;0,AF$6=$F68),"◆",""))</f>
        <v/>
      </c>
      <c r="AG68" s="78" t="str">
        <f>IF(AND($D68&gt;0,AG$6&gt;=$D68,AG$6&lt;=$E68),1,IF(AND($F68&gt;0,AG$6=$F68),"◆",""))</f>
        <v/>
      </c>
      <c r="AH68" s="78" t="str">
        <f>IF(AND($D68&gt;0,AH$6&gt;=$D68,AH$6&lt;=$E68),1,IF(AND($F68&gt;0,AH$6=$F68),"◆",""))</f>
        <v/>
      </c>
      <c r="AI68" s="78" t="str">
        <f>IF(AND($D68&gt;0,AI$6&gt;=$D68,AI$6&lt;=$E68),1,IF(AND($F68&gt;0,AI$6=$F68),"◆",""))</f>
        <v/>
      </c>
      <c r="AJ68" s="78" t="str">
        <f>IF(AND($D68&gt;0,AJ$6&gt;=$D68,AJ$6&lt;=$E68),1,IF(AND($F68&gt;0,AJ$6=$F68),"◆",""))</f>
        <v/>
      </c>
      <c r="AK68" s="78" t="str">
        <f>IF(AND($D68&gt;0,AK$6&gt;=$D68,AK$6&lt;=$E68),1,IF(AND($F68&gt;0,AK$6=$F68),"◆",""))</f>
        <v/>
      </c>
      <c r="AL68" s="78" t="str">
        <f>IF(AND($D68&gt;0,AL$6&gt;=$D68,AL$6&lt;=$E68),1,IF(AND($F68&gt;0,AL$6=$F68),"◆",""))</f>
        <v/>
      </c>
      <c r="AM68" s="78" t="str">
        <f>IF(AND($D68&gt;0,AM$6&gt;=$D68,AM$6&lt;=$E68),1,IF(AND($F68&gt;0,AM$6=$F68),"◆",""))</f>
        <v/>
      </c>
      <c r="AN68" s="78" t="str">
        <f>IF(AND($D68&gt;0,AN$6&gt;=$D68,AN$6&lt;=$E68),1,IF(AND($F68&gt;0,AN$6=$F68),"◆",""))</f>
        <v/>
      </c>
      <c r="AO68" s="78" t="str">
        <f>IF(AND($D68&gt;0,AO$6&gt;=$D68,AO$6&lt;=$E68),1,IF(AND($F68&gt;0,AO$6=$F68),"◆",""))</f>
        <v/>
      </c>
      <c r="AP68" s="78" t="str">
        <f>IF(AND($D68&gt;0,AP$6&gt;=$D68,AP$6&lt;=$E68),1,IF(AND($F68&gt;0,AP$6=$F68),"◆",""))</f>
        <v/>
      </c>
      <c r="AQ68" s="78" t="str">
        <f>IF(AND($D68&gt;0,AQ$6&gt;=$D68,AQ$6&lt;=$E68),1,IF(AND($F68&gt;0,AQ$6=$F68),"◆",""))</f>
        <v/>
      </c>
      <c r="AR68" s="78" t="str">
        <f>IF(AND($D68&gt;0,AR$6&gt;=$D68,AR$6&lt;=$E68),1,IF(AND($F68&gt;0,AR$6=$F68),"◆",""))</f>
        <v/>
      </c>
      <c r="AS68" s="78" t="str">
        <f>IF(AND($D68&gt;0,AS$6&gt;=$D68,AS$6&lt;=$E68),1,IF(AND($F68&gt;0,AS$6=$F68),"◆",""))</f>
        <v/>
      </c>
      <c r="AT68" s="78" t="str">
        <f>IF(AND($D68&gt;0,AT$6&gt;=$D68,AT$6&lt;=$E68),1,IF(AND($F68&gt;0,AT$6=$F68),"◆",""))</f>
        <v/>
      </c>
      <c r="AU68" s="78" t="str">
        <f>IF(AND($D68&gt;0,AU$6&gt;=$D68,AU$6&lt;=$E68),1,IF(AND($F68&gt;0,AU$6=$F68),"◆",""))</f>
        <v/>
      </c>
      <c r="AV68" s="78" t="str">
        <f>IF(AND($D68&gt;0,AV$6&gt;=$D68,AV$6&lt;=$E68),1,IF(AND($F68&gt;0,AV$6=$F68),"◆",""))</f>
        <v/>
      </c>
      <c r="AW68" s="78" t="str">
        <f>IF(AND($D68&gt;0,AW$6&gt;=$D68,AW$6&lt;=$E68),1,IF(AND($F68&gt;0,AW$6=$F68),"◆",""))</f>
        <v/>
      </c>
      <c r="AX68" s="78" t="str">
        <f>IF(AND($D68&gt;0,AX$6&gt;=$D68,AX$6&lt;=$E68),1,IF(AND($F68&gt;0,AX$6=$F68),"◆",""))</f>
        <v/>
      </c>
      <c r="AY68" s="78" t="str">
        <f>IF(AND($D68&gt;0,AY$6&gt;=$D68,AY$6&lt;=$E68),1,IF(AND($F68&gt;0,AY$6=$F68),"◆",""))</f>
        <v/>
      </c>
      <c r="AZ68" s="78" t="str">
        <f>IF(AND($D68&gt;0,AZ$6&gt;=$D68,AZ$6&lt;=$E68),1,IF(AND($F68&gt;0,AZ$6=$F68),"◆",""))</f>
        <v/>
      </c>
      <c r="BA68" s="78" t="str">
        <f>IF(AND($D68&gt;0,BA$6&gt;=$D68,BA$6&lt;=$E68),1,IF(AND($F68&gt;0,BA$6=$F68),"◆",""))</f>
        <v/>
      </c>
      <c r="BB68" s="78" t="str">
        <f>IF(AND($D68&gt;0,BB$6&gt;=$D68,BB$6&lt;=$E68),1,IF(AND($F68&gt;0,BB$6=$F68),"◆",""))</f>
        <v/>
      </c>
      <c r="BC68" s="78" t="str">
        <f>IF(AND($D68&gt;0,BC$6&gt;=$D68,BC$6&lt;=$E68),1,IF(AND($F68&gt;0,BC$6=$F68),"◆",""))</f>
        <v/>
      </c>
      <c r="BD68" s="78" t="str">
        <f>IF(AND($D68&gt;0,BD$6&gt;=$D68,BD$6&lt;=$E68),1,IF(AND($F68&gt;0,BD$6=$F68),"◆",""))</f>
        <v/>
      </c>
      <c r="BE68" s="78" t="str">
        <f>IF(AND($D68&gt;0,BE$6&gt;=$D68,BE$6&lt;=$E68),1,IF(AND($F68&gt;0,BE$6=$F68),"◆",""))</f>
        <v/>
      </c>
      <c r="BF68" s="78" t="str">
        <f>IF(AND($D68&gt;0,BF$6&gt;=$D68,BF$6&lt;=$E68),1,IF(AND($F68&gt;0,BF$6=$F68),"◆",""))</f>
        <v/>
      </c>
      <c r="BG68" s="78" t="str">
        <f>IF(AND($D68&gt;0,BG$6&gt;=$D68,BG$6&lt;=$E68),1,IF(AND($F68&gt;0,BG$6=$F68),"◆",""))</f>
        <v/>
      </c>
      <c r="BH68" s="78" t="str">
        <f>IF(AND($D68&gt;0,BH$6&gt;=$D68,BH$6&lt;=$E68),1,IF(AND($F68&gt;0,BH$6=$F68),"◆",""))</f>
        <v/>
      </c>
      <c r="BI68" s="78" t="str">
        <f>IF(AND($D68&gt;0,BI$6&gt;=$D68,BI$6&lt;=$E68),1,IF(AND($F68&gt;0,BI$6=$F68),"◆",""))</f>
        <v/>
      </c>
      <c r="BJ68" s="78" t="str">
        <f>IF(AND($D68&gt;0,BJ$6&gt;=$D68,BJ$6&lt;=$E68),1,IF(AND($F68&gt;0,BJ$6=$F68),"◆",""))</f>
        <v/>
      </c>
      <c r="BK68" s="78" t="str">
        <f>IF(AND($D68&gt;0,BK$6&gt;=$D68,BK$6&lt;=$E68),1,IF(AND($F68&gt;0,BK$6=$F68),"◆",""))</f>
        <v/>
      </c>
      <c r="BL68" s="78" t="str">
        <f>IF(AND($D68&gt;0,BL$6&gt;=$D68,BL$6&lt;=$E68),1,IF(AND($F68&gt;0,BL$6=$F68),"◆",""))</f>
        <v/>
      </c>
      <c r="BM68" s="78" t="str">
        <f>IF(AND($D68&gt;0,BM$6&gt;=$D68,BM$6&lt;=$E68),1,IF(AND($F68&gt;0,BM$6=$F68),"◆",""))</f>
        <v/>
      </c>
      <c r="BN68" s="78" t="str">
        <f>IF(AND($D68&gt;0,BN$6&gt;=$D68,BN$6&lt;=$E68),1,IF(AND($F68&gt;0,BN$6=$F68),"◆",""))</f>
        <v/>
      </c>
      <c r="BO68" s="78" t="str">
        <f>IF(AND($D68&gt;0,BO$6&gt;=$D68,BO$6&lt;=$E68),1,IF(AND($F68&gt;0,BO$6=$F68),"◆",""))</f>
        <v/>
      </c>
      <c r="BP68" s="78" t="str">
        <f>IF(AND($D68&gt;0,BP$6&gt;=$D68,BP$6&lt;=$E68),1,IF(AND($F68&gt;0,BP$6=$F68),"◆",""))</f>
        <v/>
      </c>
    </row>
    <row r="69">
      <c r="A69" s="75" t="str">
        <f>IF(INDEX(of_ref,63)="","",INDEX(of_num,63)&amp;"")</f>
        <v/>
      </c>
      <c r="B69" s="75" t="str">
        <f>IF(INDEX(of_ref,63)="","",INDEX(of_des,63)&amp;"")</f>
        <v/>
      </c>
      <c r="C69" s="76" t="str">
        <f>IF(INDEX(of_ref,63)="","",INDEX(of_poste,63)&amp;"")</f>
        <v/>
      </c>
      <c r="D69" s="77">
        <f>INDEX(of_start,63)</f>
        <v>0.0</v>
      </c>
      <c r="E69" s="77">
        <f>INDEX(of_end,63)</f>
        <v>0.0</v>
      </c>
      <c r="F69" s="77">
        <f>IF(N(INDEX(of_need,63))=0,0,INDEX(of_need,63))</f>
        <v>0.0</v>
      </c>
      <c r="G69" s="76" t="str">
        <f>IF(INDEX(of_ref,63)="","",INDEX(of_etat,63)&amp;"")</f>
        <v/>
      </c>
      <c r="I69" s="78" t="str">
        <f>IF(AND($D69&gt;0,I$6&gt;=$D69,I$6&lt;=$E69),1,IF(AND($F69&gt;0,I$6=$F69),"◆",""))</f>
        <v/>
      </c>
      <c r="J69" s="78" t="str">
        <f>IF(AND($D69&gt;0,J$6&gt;=$D69,J$6&lt;=$E69),1,IF(AND($F69&gt;0,J$6=$F69),"◆",""))</f>
        <v/>
      </c>
      <c r="K69" s="78" t="str">
        <f>IF(AND($D69&gt;0,K$6&gt;=$D69,K$6&lt;=$E69),1,IF(AND($F69&gt;0,K$6=$F69),"◆",""))</f>
        <v/>
      </c>
      <c r="L69" s="78" t="str">
        <f>IF(AND($D69&gt;0,L$6&gt;=$D69,L$6&lt;=$E69),1,IF(AND($F69&gt;0,L$6=$F69),"◆",""))</f>
        <v/>
      </c>
      <c r="M69" s="78" t="str">
        <f>IF(AND($D69&gt;0,M$6&gt;=$D69,M$6&lt;=$E69),1,IF(AND($F69&gt;0,M$6=$F69),"◆",""))</f>
        <v/>
      </c>
      <c r="N69" s="78" t="str">
        <f>IF(AND($D69&gt;0,N$6&gt;=$D69,N$6&lt;=$E69),1,IF(AND($F69&gt;0,N$6=$F69),"◆",""))</f>
        <v/>
      </c>
      <c r="O69" s="78" t="str">
        <f>IF(AND($D69&gt;0,O$6&gt;=$D69,O$6&lt;=$E69),1,IF(AND($F69&gt;0,O$6=$F69),"◆",""))</f>
        <v/>
      </c>
      <c r="P69" s="78" t="str">
        <f>IF(AND($D69&gt;0,P$6&gt;=$D69,P$6&lt;=$E69),1,IF(AND($F69&gt;0,P$6=$F69),"◆",""))</f>
        <v/>
      </c>
      <c r="Q69" s="78" t="str">
        <f>IF(AND($D69&gt;0,Q$6&gt;=$D69,Q$6&lt;=$E69),1,IF(AND($F69&gt;0,Q$6=$F69),"◆",""))</f>
        <v/>
      </c>
      <c r="R69" s="78" t="str">
        <f>IF(AND($D69&gt;0,R$6&gt;=$D69,R$6&lt;=$E69),1,IF(AND($F69&gt;0,R$6=$F69),"◆",""))</f>
        <v/>
      </c>
      <c r="S69" s="78" t="str">
        <f>IF(AND($D69&gt;0,S$6&gt;=$D69,S$6&lt;=$E69),1,IF(AND($F69&gt;0,S$6=$F69),"◆",""))</f>
        <v/>
      </c>
      <c r="T69" s="78" t="str">
        <f>IF(AND($D69&gt;0,T$6&gt;=$D69,T$6&lt;=$E69),1,IF(AND($F69&gt;0,T$6=$F69),"◆",""))</f>
        <v/>
      </c>
      <c r="U69" s="78" t="str">
        <f>IF(AND($D69&gt;0,U$6&gt;=$D69,U$6&lt;=$E69),1,IF(AND($F69&gt;0,U$6=$F69),"◆",""))</f>
        <v/>
      </c>
      <c r="V69" s="78" t="str">
        <f>IF(AND($D69&gt;0,V$6&gt;=$D69,V$6&lt;=$E69),1,IF(AND($F69&gt;0,V$6=$F69),"◆",""))</f>
        <v/>
      </c>
      <c r="W69" s="78" t="str">
        <f>IF(AND($D69&gt;0,W$6&gt;=$D69,W$6&lt;=$E69),1,IF(AND($F69&gt;0,W$6=$F69),"◆",""))</f>
        <v/>
      </c>
      <c r="X69" s="78" t="str">
        <f>IF(AND($D69&gt;0,X$6&gt;=$D69,X$6&lt;=$E69),1,IF(AND($F69&gt;0,X$6=$F69),"◆",""))</f>
        <v/>
      </c>
      <c r="Y69" s="78" t="str">
        <f>IF(AND($D69&gt;0,Y$6&gt;=$D69,Y$6&lt;=$E69),1,IF(AND($F69&gt;0,Y$6=$F69),"◆",""))</f>
        <v/>
      </c>
      <c r="Z69" s="78" t="str">
        <f>IF(AND($D69&gt;0,Z$6&gt;=$D69,Z$6&lt;=$E69),1,IF(AND($F69&gt;0,Z$6=$F69),"◆",""))</f>
        <v/>
      </c>
      <c r="AA69" s="78" t="str">
        <f>IF(AND($D69&gt;0,AA$6&gt;=$D69,AA$6&lt;=$E69),1,IF(AND($F69&gt;0,AA$6=$F69),"◆",""))</f>
        <v/>
      </c>
      <c r="AB69" s="78" t="str">
        <f>IF(AND($D69&gt;0,AB$6&gt;=$D69,AB$6&lt;=$E69),1,IF(AND($F69&gt;0,AB$6=$F69),"◆",""))</f>
        <v/>
      </c>
      <c r="AC69" s="78" t="str">
        <f>IF(AND($D69&gt;0,AC$6&gt;=$D69,AC$6&lt;=$E69),1,IF(AND($F69&gt;0,AC$6=$F69),"◆",""))</f>
        <v/>
      </c>
      <c r="AD69" s="78" t="str">
        <f>IF(AND($D69&gt;0,AD$6&gt;=$D69,AD$6&lt;=$E69),1,IF(AND($F69&gt;0,AD$6=$F69),"◆",""))</f>
        <v/>
      </c>
      <c r="AE69" s="78" t="str">
        <f>IF(AND($D69&gt;0,AE$6&gt;=$D69,AE$6&lt;=$E69),1,IF(AND($F69&gt;0,AE$6=$F69),"◆",""))</f>
        <v/>
      </c>
      <c r="AF69" s="78" t="str">
        <f>IF(AND($D69&gt;0,AF$6&gt;=$D69,AF$6&lt;=$E69),1,IF(AND($F69&gt;0,AF$6=$F69),"◆",""))</f>
        <v/>
      </c>
      <c r="AG69" s="78" t="str">
        <f>IF(AND($D69&gt;0,AG$6&gt;=$D69,AG$6&lt;=$E69),1,IF(AND($F69&gt;0,AG$6=$F69),"◆",""))</f>
        <v/>
      </c>
      <c r="AH69" s="78" t="str">
        <f>IF(AND($D69&gt;0,AH$6&gt;=$D69,AH$6&lt;=$E69),1,IF(AND($F69&gt;0,AH$6=$F69),"◆",""))</f>
        <v/>
      </c>
      <c r="AI69" s="78" t="str">
        <f>IF(AND($D69&gt;0,AI$6&gt;=$D69,AI$6&lt;=$E69),1,IF(AND($F69&gt;0,AI$6=$F69),"◆",""))</f>
        <v/>
      </c>
      <c r="AJ69" s="78" t="str">
        <f>IF(AND($D69&gt;0,AJ$6&gt;=$D69,AJ$6&lt;=$E69),1,IF(AND($F69&gt;0,AJ$6=$F69),"◆",""))</f>
        <v/>
      </c>
      <c r="AK69" s="78" t="str">
        <f>IF(AND($D69&gt;0,AK$6&gt;=$D69,AK$6&lt;=$E69),1,IF(AND($F69&gt;0,AK$6=$F69),"◆",""))</f>
        <v/>
      </c>
      <c r="AL69" s="78" t="str">
        <f>IF(AND($D69&gt;0,AL$6&gt;=$D69,AL$6&lt;=$E69),1,IF(AND($F69&gt;0,AL$6=$F69),"◆",""))</f>
        <v/>
      </c>
      <c r="AM69" s="78" t="str">
        <f>IF(AND($D69&gt;0,AM$6&gt;=$D69,AM$6&lt;=$E69),1,IF(AND($F69&gt;0,AM$6=$F69),"◆",""))</f>
        <v/>
      </c>
      <c r="AN69" s="78" t="str">
        <f>IF(AND($D69&gt;0,AN$6&gt;=$D69,AN$6&lt;=$E69),1,IF(AND($F69&gt;0,AN$6=$F69),"◆",""))</f>
        <v/>
      </c>
      <c r="AO69" s="78" t="str">
        <f>IF(AND($D69&gt;0,AO$6&gt;=$D69,AO$6&lt;=$E69),1,IF(AND($F69&gt;0,AO$6=$F69),"◆",""))</f>
        <v/>
      </c>
      <c r="AP69" s="78" t="str">
        <f>IF(AND($D69&gt;0,AP$6&gt;=$D69,AP$6&lt;=$E69),1,IF(AND($F69&gt;0,AP$6=$F69),"◆",""))</f>
        <v/>
      </c>
      <c r="AQ69" s="78" t="str">
        <f>IF(AND($D69&gt;0,AQ$6&gt;=$D69,AQ$6&lt;=$E69),1,IF(AND($F69&gt;0,AQ$6=$F69),"◆",""))</f>
        <v/>
      </c>
      <c r="AR69" s="78" t="str">
        <f>IF(AND($D69&gt;0,AR$6&gt;=$D69,AR$6&lt;=$E69),1,IF(AND($F69&gt;0,AR$6=$F69),"◆",""))</f>
        <v/>
      </c>
      <c r="AS69" s="78" t="str">
        <f>IF(AND($D69&gt;0,AS$6&gt;=$D69,AS$6&lt;=$E69),1,IF(AND($F69&gt;0,AS$6=$F69),"◆",""))</f>
        <v/>
      </c>
      <c r="AT69" s="78" t="str">
        <f>IF(AND($D69&gt;0,AT$6&gt;=$D69,AT$6&lt;=$E69),1,IF(AND($F69&gt;0,AT$6=$F69),"◆",""))</f>
        <v/>
      </c>
      <c r="AU69" s="78" t="str">
        <f>IF(AND($D69&gt;0,AU$6&gt;=$D69,AU$6&lt;=$E69),1,IF(AND($F69&gt;0,AU$6=$F69),"◆",""))</f>
        <v/>
      </c>
      <c r="AV69" s="78" t="str">
        <f>IF(AND($D69&gt;0,AV$6&gt;=$D69,AV$6&lt;=$E69),1,IF(AND($F69&gt;0,AV$6=$F69),"◆",""))</f>
        <v/>
      </c>
      <c r="AW69" s="78" t="str">
        <f>IF(AND($D69&gt;0,AW$6&gt;=$D69,AW$6&lt;=$E69),1,IF(AND($F69&gt;0,AW$6=$F69),"◆",""))</f>
        <v/>
      </c>
      <c r="AX69" s="78" t="str">
        <f>IF(AND($D69&gt;0,AX$6&gt;=$D69,AX$6&lt;=$E69),1,IF(AND($F69&gt;0,AX$6=$F69),"◆",""))</f>
        <v/>
      </c>
      <c r="AY69" s="78" t="str">
        <f>IF(AND($D69&gt;0,AY$6&gt;=$D69,AY$6&lt;=$E69),1,IF(AND($F69&gt;0,AY$6=$F69),"◆",""))</f>
        <v/>
      </c>
      <c r="AZ69" s="78" t="str">
        <f>IF(AND($D69&gt;0,AZ$6&gt;=$D69,AZ$6&lt;=$E69),1,IF(AND($F69&gt;0,AZ$6=$F69),"◆",""))</f>
        <v/>
      </c>
      <c r="BA69" s="78" t="str">
        <f>IF(AND($D69&gt;0,BA$6&gt;=$D69,BA$6&lt;=$E69),1,IF(AND($F69&gt;0,BA$6=$F69),"◆",""))</f>
        <v/>
      </c>
      <c r="BB69" s="78" t="str">
        <f>IF(AND($D69&gt;0,BB$6&gt;=$D69,BB$6&lt;=$E69),1,IF(AND($F69&gt;0,BB$6=$F69),"◆",""))</f>
        <v/>
      </c>
      <c r="BC69" s="78" t="str">
        <f>IF(AND($D69&gt;0,BC$6&gt;=$D69,BC$6&lt;=$E69),1,IF(AND($F69&gt;0,BC$6=$F69),"◆",""))</f>
        <v/>
      </c>
      <c r="BD69" s="78" t="str">
        <f>IF(AND($D69&gt;0,BD$6&gt;=$D69,BD$6&lt;=$E69),1,IF(AND($F69&gt;0,BD$6=$F69),"◆",""))</f>
        <v/>
      </c>
      <c r="BE69" s="78" t="str">
        <f>IF(AND($D69&gt;0,BE$6&gt;=$D69,BE$6&lt;=$E69),1,IF(AND($F69&gt;0,BE$6=$F69),"◆",""))</f>
        <v/>
      </c>
      <c r="BF69" s="78" t="str">
        <f>IF(AND($D69&gt;0,BF$6&gt;=$D69,BF$6&lt;=$E69),1,IF(AND($F69&gt;0,BF$6=$F69),"◆",""))</f>
        <v/>
      </c>
      <c r="BG69" s="78" t="str">
        <f>IF(AND($D69&gt;0,BG$6&gt;=$D69,BG$6&lt;=$E69),1,IF(AND($F69&gt;0,BG$6=$F69),"◆",""))</f>
        <v/>
      </c>
      <c r="BH69" s="78" t="str">
        <f>IF(AND($D69&gt;0,BH$6&gt;=$D69,BH$6&lt;=$E69),1,IF(AND($F69&gt;0,BH$6=$F69),"◆",""))</f>
        <v/>
      </c>
      <c r="BI69" s="78" t="str">
        <f>IF(AND($D69&gt;0,BI$6&gt;=$D69,BI$6&lt;=$E69),1,IF(AND($F69&gt;0,BI$6=$F69),"◆",""))</f>
        <v/>
      </c>
      <c r="BJ69" s="78" t="str">
        <f>IF(AND($D69&gt;0,BJ$6&gt;=$D69,BJ$6&lt;=$E69),1,IF(AND($F69&gt;0,BJ$6=$F69),"◆",""))</f>
        <v/>
      </c>
      <c r="BK69" s="78" t="str">
        <f>IF(AND($D69&gt;0,BK$6&gt;=$D69,BK$6&lt;=$E69),1,IF(AND($F69&gt;0,BK$6=$F69),"◆",""))</f>
        <v/>
      </c>
      <c r="BL69" s="78" t="str">
        <f>IF(AND($D69&gt;0,BL$6&gt;=$D69,BL$6&lt;=$E69),1,IF(AND($F69&gt;0,BL$6=$F69),"◆",""))</f>
        <v/>
      </c>
      <c r="BM69" s="78" t="str">
        <f>IF(AND($D69&gt;0,BM$6&gt;=$D69,BM$6&lt;=$E69),1,IF(AND($F69&gt;0,BM$6=$F69),"◆",""))</f>
        <v/>
      </c>
      <c r="BN69" s="78" t="str">
        <f>IF(AND($D69&gt;0,BN$6&gt;=$D69,BN$6&lt;=$E69),1,IF(AND($F69&gt;0,BN$6=$F69),"◆",""))</f>
        <v/>
      </c>
      <c r="BO69" s="78" t="str">
        <f>IF(AND($D69&gt;0,BO$6&gt;=$D69,BO$6&lt;=$E69),1,IF(AND($F69&gt;0,BO$6=$F69),"◆",""))</f>
        <v/>
      </c>
      <c r="BP69" s="78" t="str">
        <f>IF(AND($D69&gt;0,BP$6&gt;=$D69,BP$6&lt;=$E69),1,IF(AND($F69&gt;0,BP$6=$F69),"◆",""))</f>
        <v/>
      </c>
    </row>
    <row r="70">
      <c r="A70" s="75" t="str">
        <f>IF(INDEX(of_ref,64)="","",INDEX(of_num,64)&amp;"")</f>
        <v/>
      </c>
      <c r="B70" s="75" t="str">
        <f>IF(INDEX(of_ref,64)="","",INDEX(of_des,64)&amp;"")</f>
        <v/>
      </c>
      <c r="C70" s="76" t="str">
        <f>IF(INDEX(of_ref,64)="","",INDEX(of_poste,64)&amp;"")</f>
        <v/>
      </c>
      <c r="D70" s="77">
        <f>INDEX(of_start,64)</f>
        <v>0.0</v>
      </c>
      <c r="E70" s="77">
        <f>INDEX(of_end,64)</f>
        <v>0.0</v>
      </c>
      <c r="F70" s="77">
        <f>IF(N(INDEX(of_need,64))=0,0,INDEX(of_need,64))</f>
        <v>0.0</v>
      </c>
      <c r="G70" s="76" t="str">
        <f>IF(INDEX(of_ref,64)="","",INDEX(of_etat,64)&amp;"")</f>
        <v/>
      </c>
      <c r="I70" s="78" t="str">
        <f>IF(AND($D70&gt;0,I$6&gt;=$D70,I$6&lt;=$E70),1,IF(AND($F70&gt;0,I$6=$F70),"◆",""))</f>
        <v/>
      </c>
      <c r="J70" s="78" t="str">
        <f>IF(AND($D70&gt;0,J$6&gt;=$D70,J$6&lt;=$E70),1,IF(AND($F70&gt;0,J$6=$F70),"◆",""))</f>
        <v/>
      </c>
      <c r="K70" s="78" t="str">
        <f>IF(AND($D70&gt;0,K$6&gt;=$D70,K$6&lt;=$E70),1,IF(AND($F70&gt;0,K$6=$F70),"◆",""))</f>
        <v/>
      </c>
      <c r="L70" s="78" t="str">
        <f>IF(AND($D70&gt;0,L$6&gt;=$D70,L$6&lt;=$E70),1,IF(AND($F70&gt;0,L$6=$F70),"◆",""))</f>
        <v/>
      </c>
      <c r="M70" s="78" t="str">
        <f>IF(AND($D70&gt;0,M$6&gt;=$D70,M$6&lt;=$E70),1,IF(AND($F70&gt;0,M$6=$F70),"◆",""))</f>
        <v/>
      </c>
      <c r="N70" s="78" t="str">
        <f>IF(AND($D70&gt;0,N$6&gt;=$D70,N$6&lt;=$E70),1,IF(AND($F70&gt;0,N$6=$F70),"◆",""))</f>
        <v/>
      </c>
      <c r="O70" s="78" t="str">
        <f>IF(AND($D70&gt;0,O$6&gt;=$D70,O$6&lt;=$E70),1,IF(AND($F70&gt;0,O$6=$F70),"◆",""))</f>
        <v/>
      </c>
      <c r="P70" s="78" t="str">
        <f>IF(AND($D70&gt;0,P$6&gt;=$D70,P$6&lt;=$E70),1,IF(AND($F70&gt;0,P$6=$F70),"◆",""))</f>
        <v/>
      </c>
      <c r="Q70" s="78" t="str">
        <f>IF(AND($D70&gt;0,Q$6&gt;=$D70,Q$6&lt;=$E70),1,IF(AND($F70&gt;0,Q$6=$F70),"◆",""))</f>
        <v/>
      </c>
      <c r="R70" s="78" t="str">
        <f>IF(AND($D70&gt;0,R$6&gt;=$D70,R$6&lt;=$E70),1,IF(AND($F70&gt;0,R$6=$F70),"◆",""))</f>
        <v/>
      </c>
      <c r="S70" s="78" t="str">
        <f>IF(AND($D70&gt;0,S$6&gt;=$D70,S$6&lt;=$E70),1,IF(AND($F70&gt;0,S$6=$F70),"◆",""))</f>
        <v/>
      </c>
      <c r="T70" s="78" t="str">
        <f>IF(AND($D70&gt;0,T$6&gt;=$D70,T$6&lt;=$E70),1,IF(AND($F70&gt;0,T$6=$F70),"◆",""))</f>
        <v/>
      </c>
      <c r="U70" s="78" t="str">
        <f>IF(AND($D70&gt;0,U$6&gt;=$D70,U$6&lt;=$E70),1,IF(AND($F70&gt;0,U$6=$F70),"◆",""))</f>
        <v/>
      </c>
      <c r="V70" s="78" t="str">
        <f>IF(AND($D70&gt;0,V$6&gt;=$D70,V$6&lt;=$E70),1,IF(AND($F70&gt;0,V$6=$F70),"◆",""))</f>
        <v/>
      </c>
      <c r="W70" s="78" t="str">
        <f>IF(AND($D70&gt;0,W$6&gt;=$D70,W$6&lt;=$E70),1,IF(AND($F70&gt;0,W$6=$F70),"◆",""))</f>
        <v/>
      </c>
      <c r="X70" s="78" t="str">
        <f>IF(AND($D70&gt;0,X$6&gt;=$D70,X$6&lt;=$E70),1,IF(AND($F70&gt;0,X$6=$F70),"◆",""))</f>
        <v/>
      </c>
      <c r="Y70" s="78" t="str">
        <f>IF(AND($D70&gt;0,Y$6&gt;=$D70,Y$6&lt;=$E70),1,IF(AND($F70&gt;0,Y$6=$F70),"◆",""))</f>
        <v/>
      </c>
      <c r="Z70" s="78" t="str">
        <f>IF(AND($D70&gt;0,Z$6&gt;=$D70,Z$6&lt;=$E70),1,IF(AND($F70&gt;0,Z$6=$F70),"◆",""))</f>
        <v/>
      </c>
      <c r="AA70" s="78" t="str">
        <f>IF(AND($D70&gt;0,AA$6&gt;=$D70,AA$6&lt;=$E70),1,IF(AND($F70&gt;0,AA$6=$F70),"◆",""))</f>
        <v/>
      </c>
      <c r="AB70" s="78" t="str">
        <f>IF(AND($D70&gt;0,AB$6&gt;=$D70,AB$6&lt;=$E70),1,IF(AND($F70&gt;0,AB$6=$F70),"◆",""))</f>
        <v/>
      </c>
      <c r="AC70" s="78" t="str">
        <f>IF(AND($D70&gt;0,AC$6&gt;=$D70,AC$6&lt;=$E70),1,IF(AND($F70&gt;0,AC$6=$F70),"◆",""))</f>
        <v/>
      </c>
      <c r="AD70" s="78" t="str">
        <f>IF(AND($D70&gt;0,AD$6&gt;=$D70,AD$6&lt;=$E70),1,IF(AND($F70&gt;0,AD$6=$F70),"◆",""))</f>
        <v/>
      </c>
      <c r="AE70" s="78" t="str">
        <f>IF(AND($D70&gt;0,AE$6&gt;=$D70,AE$6&lt;=$E70),1,IF(AND($F70&gt;0,AE$6=$F70),"◆",""))</f>
        <v/>
      </c>
      <c r="AF70" s="78" t="str">
        <f>IF(AND($D70&gt;0,AF$6&gt;=$D70,AF$6&lt;=$E70),1,IF(AND($F70&gt;0,AF$6=$F70),"◆",""))</f>
        <v/>
      </c>
      <c r="AG70" s="78" t="str">
        <f>IF(AND($D70&gt;0,AG$6&gt;=$D70,AG$6&lt;=$E70),1,IF(AND($F70&gt;0,AG$6=$F70),"◆",""))</f>
        <v/>
      </c>
      <c r="AH70" s="78" t="str">
        <f>IF(AND($D70&gt;0,AH$6&gt;=$D70,AH$6&lt;=$E70),1,IF(AND($F70&gt;0,AH$6=$F70),"◆",""))</f>
        <v/>
      </c>
      <c r="AI70" s="78" t="str">
        <f>IF(AND($D70&gt;0,AI$6&gt;=$D70,AI$6&lt;=$E70),1,IF(AND($F70&gt;0,AI$6=$F70),"◆",""))</f>
        <v/>
      </c>
      <c r="AJ70" s="78" t="str">
        <f>IF(AND($D70&gt;0,AJ$6&gt;=$D70,AJ$6&lt;=$E70),1,IF(AND($F70&gt;0,AJ$6=$F70),"◆",""))</f>
        <v/>
      </c>
      <c r="AK70" s="78" t="str">
        <f>IF(AND($D70&gt;0,AK$6&gt;=$D70,AK$6&lt;=$E70),1,IF(AND($F70&gt;0,AK$6=$F70),"◆",""))</f>
        <v/>
      </c>
      <c r="AL70" s="78" t="str">
        <f>IF(AND($D70&gt;0,AL$6&gt;=$D70,AL$6&lt;=$E70),1,IF(AND($F70&gt;0,AL$6=$F70),"◆",""))</f>
        <v/>
      </c>
      <c r="AM70" s="78" t="str">
        <f>IF(AND($D70&gt;0,AM$6&gt;=$D70,AM$6&lt;=$E70),1,IF(AND($F70&gt;0,AM$6=$F70),"◆",""))</f>
        <v/>
      </c>
      <c r="AN70" s="78" t="str">
        <f>IF(AND($D70&gt;0,AN$6&gt;=$D70,AN$6&lt;=$E70),1,IF(AND($F70&gt;0,AN$6=$F70),"◆",""))</f>
        <v/>
      </c>
      <c r="AO70" s="78" t="str">
        <f>IF(AND($D70&gt;0,AO$6&gt;=$D70,AO$6&lt;=$E70),1,IF(AND($F70&gt;0,AO$6=$F70),"◆",""))</f>
        <v/>
      </c>
      <c r="AP70" s="78" t="str">
        <f>IF(AND($D70&gt;0,AP$6&gt;=$D70,AP$6&lt;=$E70),1,IF(AND($F70&gt;0,AP$6=$F70),"◆",""))</f>
        <v/>
      </c>
      <c r="AQ70" s="78" t="str">
        <f>IF(AND($D70&gt;0,AQ$6&gt;=$D70,AQ$6&lt;=$E70),1,IF(AND($F70&gt;0,AQ$6=$F70),"◆",""))</f>
        <v/>
      </c>
      <c r="AR70" s="78" t="str">
        <f>IF(AND($D70&gt;0,AR$6&gt;=$D70,AR$6&lt;=$E70),1,IF(AND($F70&gt;0,AR$6=$F70),"◆",""))</f>
        <v/>
      </c>
      <c r="AS70" s="78" t="str">
        <f>IF(AND($D70&gt;0,AS$6&gt;=$D70,AS$6&lt;=$E70),1,IF(AND($F70&gt;0,AS$6=$F70),"◆",""))</f>
        <v/>
      </c>
      <c r="AT70" s="78" t="str">
        <f>IF(AND($D70&gt;0,AT$6&gt;=$D70,AT$6&lt;=$E70),1,IF(AND($F70&gt;0,AT$6=$F70),"◆",""))</f>
        <v/>
      </c>
      <c r="AU70" s="78" t="str">
        <f>IF(AND($D70&gt;0,AU$6&gt;=$D70,AU$6&lt;=$E70),1,IF(AND($F70&gt;0,AU$6=$F70),"◆",""))</f>
        <v/>
      </c>
      <c r="AV70" s="78" t="str">
        <f>IF(AND($D70&gt;0,AV$6&gt;=$D70,AV$6&lt;=$E70),1,IF(AND($F70&gt;0,AV$6=$F70),"◆",""))</f>
        <v/>
      </c>
      <c r="AW70" s="78" t="str">
        <f>IF(AND($D70&gt;0,AW$6&gt;=$D70,AW$6&lt;=$E70),1,IF(AND($F70&gt;0,AW$6=$F70),"◆",""))</f>
        <v/>
      </c>
      <c r="AX70" s="78" t="str">
        <f>IF(AND($D70&gt;0,AX$6&gt;=$D70,AX$6&lt;=$E70),1,IF(AND($F70&gt;0,AX$6=$F70),"◆",""))</f>
        <v/>
      </c>
      <c r="AY70" s="78" t="str">
        <f>IF(AND($D70&gt;0,AY$6&gt;=$D70,AY$6&lt;=$E70),1,IF(AND($F70&gt;0,AY$6=$F70),"◆",""))</f>
        <v/>
      </c>
      <c r="AZ70" s="78" t="str">
        <f>IF(AND($D70&gt;0,AZ$6&gt;=$D70,AZ$6&lt;=$E70),1,IF(AND($F70&gt;0,AZ$6=$F70),"◆",""))</f>
        <v/>
      </c>
      <c r="BA70" s="78" t="str">
        <f>IF(AND($D70&gt;0,BA$6&gt;=$D70,BA$6&lt;=$E70),1,IF(AND($F70&gt;0,BA$6=$F70),"◆",""))</f>
        <v/>
      </c>
      <c r="BB70" s="78" t="str">
        <f>IF(AND($D70&gt;0,BB$6&gt;=$D70,BB$6&lt;=$E70),1,IF(AND($F70&gt;0,BB$6=$F70),"◆",""))</f>
        <v/>
      </c>
      <c r="BC70" s="78" t="str">
        <f>IF(AND($D70&gt;0,BC$6&gt;=$D70,BC$6&lt;=$E70),1,IF(AND($F70&gt;0,BC$6=$F70),"◆",""))</f>
        <v/>
      </c>
      <c r="BD70" s="78" t="str">
        <f>IF(AND($D70&gt;0,BD$6&gt;=$D70,BD$6&lt;=$E70),1,IF(AND($F70&gt;0,BD$6=$F70),"◆",""))</f>
        <v/>
      </c>
      <c r="BE70" s="78" t="str">
        <f>IF(AND($D70&gt;0,BE$6&gt;=$D70,BE$6&lt;=$E70),1,IF(AND($F70&gt;0,BE$6=$F70),"◆",""))</f>
        <v/>
      </c>
      <c r="BF70" s="78" t="str">
        <f>IF(AND($D70&gt;0,BF$6&gt;=$D70,BF$6&lt;=$E70),1,IF(AND($F70&gt;0,BF$6=$F70),"◆",""))</f>
        <v/>
      </c>
      <c r="BG70" s="78" t="str">
        <f>IF(AND($D70&gt;0,BG$6&gt;=$D70,BG$6&lt;=$E70),1,IF(AND($F70&gt;0,BG$6=$F70),"◆",""))</f>
        <v/>
      </c>
      <c r="BH70" s="78" t="str">
        <f>IF(AND($D70&gt;0,BH$6&gt;=$D70,BH$6&lt;=$E70),1,IF(AND($F70&gt;0,BH$6=$F70),"◆",""))</f>
        <v/>
      </c>
      <c r="BI70" s="78" t="str">
        <f>IF(AND($D70&gt;0,BI$6&gt;=$D70,BI$6&lt;=$E70),1,IF(AND($F70&gt;0,BI$6=$F70),"◆",""))</f>
        <v/>
      </c>
      <c r="BJ70" s="78" t="str">
        <f>IF(AND($D70&gt;0,BJ$6&gt;=$D70,BJ$6&lt;=$E70),1,IF(AND($F70&gt;0,BJ$6=$F70),"◆",""))</f>
        <v/>
      </c>
      <c r="BK70" s="78" t="str">
        <f>IF(AND($D70&gt;0,BK$6&gt;=$D70,BK$6&lt;=$E70),1,IF(AND($F70&gt;0,BK$6=$F70),"◆",""))</f>
        <v/>
      </c>
      <c r="BL70" s="78" t="str">
        <f>IF(AND($D70&gt;0,BL$6&gt;=$D70,BL$6&lt;=$E70),1,IF(AND($F70&gt;0,BL$6=$F70),"◆",""))</f>
        <v/>
      </c>
      <c r="BM70" s="78" t="str">
        <f>IF(AND($D70&gt;0,BM$6&gt;=$D70,BM$6&lt;=$E70),1,IF(AND($F70&gt;0,BM$6=$F70),"◆",""))</f>
        <v/>
      </c>
      <c r="BN70" s="78" t="str">
        <f>IF(AND($D70&gt;0,BN$6&gt;=$D70,BN$6&lt;=$E70),1,IF(AND($F70&gt;0,BN$6=$F70),"◆",""))</f>
        <v/>
      </c>
      <c r="BO70" s="78" t="str">
        <f>IF(AND($D70&gt;0,BO$6&gt;=$D70,BO$6&lt;=$E70),1,IF(AND($F70&gt;0,BO$6=$F70),"◆",""))</f>
        <v/>
      </c>
      <c r="BP70" s="78" t="str">
        <f>IF(AND($D70&gt;0,BP$6&gt;=$D70,BP$6&lt;=$E70),1,IF(AND($F70&gt;0,BP$6=$F70),"◆",""))</f>
        <v/>
      </c>
    </row>
    <row r="71">
      <c r="A71" s="75" t="str">
        <f>IF(INDEX(of_ref,65)="","",INDEX(of_num,65)&amp;"")</f>
        <v/>
      </c>
      <c r="B71" s="75" t="str">
        <f>IF(INDEX(of_ref,65)="","",INDEX(of_des,65)&amp;"")</f>
        <v/>
      </c>
      <c r="C71" s="76" t="str">
        <f>IF(INDEX(of_ref,65)="","",INDEX(of_poste,65)&amp;"")</f>
        <v/>
      </c>
      <c r="D71" s="77">
        <f>INDEX(of_start,65)</f>
        <v>0.0</v>
      </c>
      <c r="E71" s="77">
        <f>INDEX(of_end,65)</f>
        <v>0.0</v>
      </c>
      <c r="F71" s="77">
        <f>IF(N(INDEX(of_need,65))=0,0,INDEX(of_need,65))</f>
        <v>0.0</v>
      </c>
      <c r="G71" s="76" t="str">
        <f>IF(INDEX(of_ref,65)="","",INDEX(of_etat,65)&amp;"")</f>
        <v/>
      </c>
      <c r="I71" s="78" t="str">
        <f>IF(AND($D71&gt;0,I$6&gt;=$D71,I$6&lt;=$E71),1,IF(AND($F71&gt;0,I$6=$F71),"◆",""))</f>
        <v/>
      </c>
      <c r="J71" s="78" t="str">
        <f>IF(AND($D71&gt;0,J$6&gt;=$D71,J$6&lt;=$E71),1,IF(AND($F71&gt;0,J$6=$F71),"◆",""))</f>
        <v/>
      </c>
      <c r="K71" s="78" t="str">
        <f>IF(AND($D71&gt;0,K$6&gt;=$D71,K$6&lt;=$E71),1,IF(AND($F71&gt;0,K$6=$F71),"◆",""))</f>
        <v/>
      </c>
      <c r="L71" s="78" t="str">
        <f>IF(AND($D71&gt;0,L$6&gt;=$D71,L$6&lt;=$E71),1,IF(AND($F71&gt;0,L$6=$F71),"◆",""))</f>
        <v/>
      </c>
      <c r="M71" s="78" t="str">
        <f>IF(AND($D71&gt;0,M$6&gt;=$D71,M$6&lt;=$E71),1,IF(AND($F71&gt;0,M$6=$F71),"◆",""))</f>
        <v/>
      </c>
      <c r="N71" s="78" t="str">
        <f>IF(AND($D71&gt;0,N$6&gt;=$D71,N$6&lt;=$E71),1,IF(AND($F71&gt;0,N$6=$F71),"◆",""))</f>
        <v/>
      </c>
      <c r="O71" s="78" t="str">
        <f>IF(AND($D71&gt;0,O$6&gt;=$D71,O$6&lt;=$E71),1,IF(AND($F71&gt;0,O$6=$F71),"◆",""))</f>
        <v/>
      </c>
      <c r="P71" s="78" t="str">
        <f>IF(AND($D71&gt;0,P$6&gt;=$D71,P$6&lt;=$E71),1,IF(AND($F71&gt;0,P$6=$F71),"◆",""))</f>
        <v/>
      </c>
      <c r="Q71" s="78" t="str">
        <f>IF(AND($D71&gt;0,Q$6&gt;=$D71,Q$6&lt;=$E71),1,IF(AND($F71&gt;0,Q$6=$F71),"◆",""))</f>
        <v/>
      </c>
      <c r="R71" s="78" t="str">
        <f>IF(AND($D71&gt;0,R$6&gt;=$D71,R$6&lt;=$E71),1,IF(AND($F71&gt;0,R$6=$F71),"◆",""))</f>
        <v/>
      </c>
      <c r="S71" s="78" t="str">
        <f>IF(AND($D71&gt;0,S$6&gt;=$D71,S$6&lt;=$E71),1,IF(AND($F71&gt;0,S$6=$F71),"◆",""))</f>
        <v/>
      </c>
      <c r="T71" s="78" t="str">
        <f>IF(AND($D71&gt;0,T$6&gt;=$D71,T$6&lt;=$E71),1,IF(AND($F71&gt;0,T$6=$F71),"◆",""))</f>
        <v/>
      </c>
      <c r="U71" s="78" t="str">
        <f>IF(AND($D71&gt;0,U$6&gt;=$D71,U$6&lt;=$E71),1,IF(AND($F71&gt;0,U$6=$F71),"◆",""))</f>
        <v/>
      </c>
      <c r="V71" s="78" t="str">
        <f>IF(AND($D71&gt;0,V$6&gt;=$D71,V$6&lt;=$E71),1,IF(AND($F71&gt;0,V$6=$F71),"◆",""))</f>
        <v/>
      </c>
      <c r="W71" s="78" t="str">
        <f>IF(AND($D71&gt;0,W$6&gt;=$D71,W$6&lt;=$E71),1,IF(AND($F71&gt;0,W$6=$F71),"◆",""))</f>
        <v/>
      </c>
      <c r="X71" s="78" t="str">
        <f>IF(AND($D71&gt;0,X$6&gt;=$D71,X$6&lt;=$E71),1,IF(AND($F71&gt;0,X$6=$F71),"◆",""))</f>
        <v/>
      </c>
      <c r="Y71" s="78" t="str">
        <f>IF(AND($D71&gt;0,Y$6&gt;=$D71,Y$6&lt;=$E71),1,IF(AND($F71&gt;0,Y$6=$F71),"◆",""))</f>
        <v/>
      </c>
      <c r="Z71" s="78" t="str">
        <f>IF(AND($D71&gt;0,Z$6&gt;=$D71,Z$6&lt;=$E71),1,IF(AND($F71&gt;0,Z$6=$F71),"◆",""))</f>
        <v/>
      </c>
      <c r="AA71" s="78" t="str">
        <f>IF(AND($D71&gt;0,AA$6&gt;=$D71,AA$6&lt;=$E71),1,IF(AND($F71&gt;0,AA$6=$F71),"◆",""))</f>
        <v/>
      </c>
      <c r="AB71" s="78" t="str">
        <f>IF(AND($D71&gt;0,AB$6&gt;=$D71,AB$6&lt;=$E71),1,IF(AND($F71&gt;0,AB$6=$F71),"◆",""))</f>
        <v/>
      </c>
      <c r="AC71" s="78" t="str">
        <f>IF(AND($D71&gt;0,AC$6&gt;=$D71,AC$6&lt;=$E71),1,IF(AND($F71&gt;0,AC$6=$F71),"◆",""))</f>
        <v/>
      </c>
      <c r="AD71" s="78" t="str">
        <f>IF(AND($D71&gt;0,AD$6&gt;=$D71,AD$6&lt;=$E71),1,IF(AND($F71&gt;0,AD$6=$F71),"◆",""))</f>
        <v/>
      </c>
      <c r="AE71" s="78" t="str">
        <f>IF(AND($D71&gt;0,AE$6&gt;=$D71,AE$6&lt;=$E71),1,IF(AND($F71&gt;0,AE$6=$F71),"◆",""))</f>
        <v/>
      </c>
      <c r="AF71" s="78" t="str">
        <f>IF(AND($D71&gt;0,AF$6&gt;=$D71,AF$6&lt;=$E71),1,IF(AND($F71&gt;0,AF$6=$F71),"◆",""))</f>
        <v/>
      </c>
      <c r="AG71" s="78" t="str">
        <f>IF(AND($D71&gt;0,AG$6&gt;=$D71,AG$6&lt;=$E71),1,IF(AND($F71&gt;0,AG$6=$F71),"◆",""))</f>
        <v/>
      </c>
      <c r="AH71" s="78" t="str">
        <f>IF(AND($D71&gt;0,AH$6&gt;=$D71,AH$6&lt;=$E71),1,IF(AND($F71&gt;0,AH$6=$F71),"◆",""))</f>
        <v/>
      </c>
      <c r="AI71" s="78" t="str">
        <f>IF(AND($D71&gt;0,AI$6&gt;=$D71,AI$6&lt;=$E71),1,IF(AND($F71&gt;0,AI$6=$F71),"◆",""))</f>
        <v/>
      </c>
      <c r="AJ71" s="78" t="str">
        <f>IF(AND($D71&gt;0,AJ$6&gt;=$D71,AJ$6&lt;=$E71),1,IF(AND($F71&gt;0,AJ$6=$F71),"◆",""))</f>
        <v/>
      </c>
      <c r="AK71" s="78" t="str">
        <f>IF(AND($D71&gt;0,AK$6&gt;=$D71,AK$6&lt;=$E71),1,IF(AND($F71&gt;0,AK$6=$F71),"◆",""))</f>
        <v/>
      </c>
      <c r="AL71" s="78" t="str">
        <f>IF(AND($D71&gt;0,AL$6&gt;=$D71,AL$6&lt;=$E71),1,IF(AND($F71&gt;0,AL$6=$F71),"◆",""))</f>
        <v/>
      </c>
      <c r="AM71" s="78" t="str">
        <f>IF(AND($D71&gt;0,AM$6&gt;=$D71,AM$6&lt;=$E71),1,IF(AND($F71&gt;0,AM$6=$F71),"◆",""))</f>
        <v/>
      </c>
      <c r="AN71" s="78" t="str">
        <f>IF(AND($D71&gt;0,AN$6&gt;=$D71,AN$6&lt;=$E71),1,IF(AND($F71&gt;0,AN$6=$F71),"◆",""))</f>
        <v/>
      </c>
      <c r="AO71" s="78" t="str">
        <f>IF(AND($D71&gt;0,AO$6&gt;=$D71,AO$6&lt;=$E71),1,IF(AND($F71&gt;0,AO$6=$F71),"◆",""))</f>
        <v/>
      </c>
      <c r="AP71" s="78" t="str">
        <f>IF(AND($D71&gt;0,AP$6&gt;=$D71,AP$6&lt;=$E71),1,IF(AND($F71&gt;0,AP$6=$F71),"◆",""))</f>
        <v/>
      </c>
      <c r="AQ71" s="78" t="str">
        <f>IF(AND($D71&gt;0,AQ$6&gt;=$D71,AQ$6&lt;=$E71),1,IF(AND($F71&gt;0,AQ$6=$F71),"◆",""))</f>
        <v/>
      </c>
      <c r="AR71" s="78" t="str">
        <f>IF(AND($D71&gt;0,AR$6&gt;=$D71,AR$6&lt;=$E71),1,IF(AND($F71&gt;0,AR$6=$F71),"◆",""))</f>
        <v/>
      </c>
      <c r="AS71" s="78" t="str">
        <f>IF(AND($D71&gt;0,AS$6&gt;=$D71,AS$6&lt;=$E71),1,IF(AND($F71&gt;0,AS$6=$F71),"◆",""))</f>
        <v/>
      </c>
      <c r="AT71" s="78" t="str">
        <f>IF(AND($D71&gt;0,AT$6&gt;=$D71,AT$6&lt;=$E71),1,IF(AND($F71&gt;0,AT$6=$F71),"◆",""))</f>
        <v/>
      </c>
      <c r="AU71" s="78" t="str">
        <f>IF(AND($D71&gt;0,AU$6&gt;=$D71,AU$6&lt;=$E71),1,IF(AND($F71&gt;0,AU$6=$F71),"◆",""))</f>
        <v/>
      </c>
      <c r="AV71" s="78" t="str">
        <f>IF(AND($D71&gt;0,AV$6&gt;=$D71,AV$6&lt;=$E71),1,IF(AND($F71&gt;0,AV$6=$F71),"◆",""))</f>
        <v/>
      </c>
      <c r="AW71" s="78" t="str">
        <f>IF(AND($D71&gt;0,AW$6&gt;=$D71,AW$6&lt;=$E71),1,IF(AND($F71&gt;0,AW$6=$F71),"◆",""))</f>
        <v/>
      </c>
      <c r="AX71" s="78" t="str">
        <f>IF(AND($D71&gt;0,AX$6&gt;=$D71,AX$6&lt;=$E71),1,IF(AND($F71&gt;0,AX$6=$F71),"◆",""))</f>
        <v/>
      </c>
      <c r="AY71" s="78" t="str">
        <f>IF(AND($D71&gt;0,AY$6&gt;=$D71,AY$6&lt;=$E71),1,IF(AND($F71&gt;0,AY$6=$F71),"◆",""))</f>
        <v/>
      </c>
      <c r="AZ71" s="78" t="str">
        <f>IF(AND($D71&gt;0,AZ$6&gt;=$D71,AZ$6&lt;=$E71),1,IF(AND($F71&gt;0,AZ$6=$F71),"◆",""))</f>
        <v/>
      </c>
      <c r="BA71" s="78" t="str">
        <f>IF(AND($D71&gt;0,BA$6&gt;=$D71,BA$6&lt;=$E71),1,IF(AND($F71&gt;0,BA$6=$F71),"◆",""))</f>
        <v/>
      </c>
      <c r="BB71" s="78" t="str">
        <f>IF(AND($D71&gt;0,BB$6&gt;=$D71,BB$6&lt;=$E71),1,IF(AND($F71&gt;0,BB$6=$F71),"◆",""))</f>
        <v/>
      </c>
      <c r="BC71" s="78" t="str">
        <f>IF(AND($D71&gt;0,BC$6&gt;=$D71,BC$6&lt;=$E71),1,IF(AND($F71&gt;0,BC$6=$F71),"◆",""))</f>
        <v/>
      </c>
      <c r="BD71" s="78" t="str">
        <f>IF(AND($D71&gt;0,BD$6&gt;=$D71,BD$6&lt;=$E71),1,IF(AND($F71&gt;0,BD$6=$F71),"◆",""))</f>
        <v/>
      </c>
      <c r="BE71" s="78" t="str">
        <f>IF(AND($D71&gt;0,BE$6&gt;=$D71,BE$6&lt;=$E71),1,IF(AND($F71&gt;0,BE$6=$F71),"◆",""))</f>
        <v/>
      </c>
      <c r="BF71" s="78" t="str">
        <f>IF(AND($D71&gt;0,BF$6&gt;=$D71,BF$6&lt;=$E71),1,IF(AND($F71&gt;0,BF$6=$F71),"◆",""))</f>
        <v/>
      </c>
      <c r="BG71" s="78" t="str">
        <f>IF(AND($D71&gt;0,BG$6&gt;=$D71,BG$6&lt;=$E71),1,IF(AND($F71&gt;0,BG$6=$F71),"◆",""))</f>
        <v/>
      </c>
      <c r="BH71" s="78" t="str">
        <f>IF(AND($D71&gt;0,BH$6&gt;=$D71,BH$6&lt;=$E71),1,IF(AND($F71&gt;0,BH$6=$F71),"◆",""))</f>
        <v/>
      </c>
      <c r="BI71" s="78" t="str">
        <f>IF(AND($D71&gt;0,BI$6&gt;=$D71,BI$6&lt;=$E71),1,IF(AND($F71&gt;0,BI$6=$F71),"◆",""))</f>
        <v/>
      </c>
      <c r="BJ71" s="78" t="str">
        <f>IF(AND($D71&gt;0,BJ$6&gt;=$D71,BJ$6&lt;=$E71),1,IF(AND($F71&gt;0,BJ$6=$F71),"◆",""))</f>
        <v/>
      </c>
      <c r="BK71" s="78" t="str">
        <f>IF(AND($D71&gt;0,BK$6&gt;=$D71,BK$6&lt;=$E71),1,IF(AND($F71&gt;0,BK$6=$F71),"◆",""))</f>
        <v/>
      </c>
      <c r="BL71" s="78" t="str">
        <f>IF(AND($D71&gt;0,BL$6&gt;=$D71,BL$6&lt;=$E71),1,IF(AND($F71&gt;0,BL$6=$F71),"◆",""))</f>
        <v/>
      </c>
      <c r="BM71" s="78" t="str">
        <f>IF(AND($D71&gt;0,BM$6&gt;=$D71,BM$6&lt;=$E71),1,IF(AND($F71&gt;0,BM$6=$F71),"◆",""))</f>
        <v/>
      </c>
      <c r="BN71" s="78" t="str">
        <f>IF(AND($D71&gt;0,BN$6&gt;=$D71,BN$6&lt;=$E71),1,IF(AND($F71&gt;0,BN$6=$F71),"◆",""))</f>
        <v/>
      </c>
      <c r="BO71" s="78" t="str">
        <f>IF(AND($D71&gt;0,BO$6&gt;=$D71,BO$6&lt;=$E71),1,IF(AND($F71&gt;0,BO$6=$F71),"◆",""))</f>
        <v/>
      </c>
      <c r="BP71" s="78" t="str">
        <f>IF(AND($D71&gt;0,BP$6&gt;=$D71,BP$6&lt;=$E71),1,IF(AND($F71&gt;0,BP$6=$F71),"◆",""))</f>
        <v/>
      </c>
    </row>
    <row r="72">
      <c r="A72" s="75" t="str">
        <f>IF(INDEX(of_ref,66)="","",INDEX(of_num,66)&amp;"")</f>
        <v/>
      </c>
      <c r="B72" s="75" t="str">
        <f>IF(INDEX(of_ref,66)="","",INDEX(of_des,66)&amp;"")</f>
        <v/>
      </c>
      <c r="C72" s="76" t="str">
        <f>IF(INDEX(of_ref,66)="","",INDEX(of_poste,66)&amp;"")</f>
        <v/>
      </c>
      <c r="D72" s="77">
        <f>INDEX(of_start,66)</f>
        <v>0.0</v>
      </c>
      <c r="E72" s="77">
        <f>INDEX(of_end,66)</f>
        <v>0.0</v>
      </c>
      <c r="F72" s="77">
        <f>IF(N(INDEX(of_need,66))=0,0,INDEX(of_need,66))</f>
        <v>0.0</v>
      </c>
      <c r="G72" s="76" t="str">
        <f>IF(INDEX(of_ref,66)="","",INDEX(of_etat,66)&amp;"")</f>
        <v/>
      </c>
      <c r="I72" s="78" t="str">
        <f>IF(AND($D72&gt;0,I$6&gt;=$D72,I$6&lt;=$E72),1,IF(AND($F72&gt;0,I$6=$F72),"◆",""))</f>
        <v/>
      </c>
      <c r="J72" s="78" t="str">
        <f>IF(AND($D72&gt;0,J$6&gt;=$D72,J$6&lt;=$E72),1,IF(AND($F72&gt;0,J$6=$F72),"◆",""))</f>
        <v/>
      </c>
      <c r="K72" s="78" t="str">
        <f>IF(AND($D72&gt;0,K$6&gt;=$D72,K$6&lt;=$E72),1,IF(AND($F72&gt;0,K$6=$F72),"◆",""))</f>
        <v/>
      </c>
      <c r="L72" s="78" t="str">
        <f>IF(AND($D72&gt;0,L$6&gt;=$D72,L$6&lt;=$E72),1,IF(AND($F72&gt;0,L$6=$F72),"◆",""))</f>
        <v/>
      </c>
      <c r="M72" s="78" t="str">
        <f>IF(AND($D72&gt;0,M$6&gt;=$D72,M$6&lt;=$E72),1,IF(AND($F72&gt;0,M$6=$F72),"◆",""))</f>
        <v/>
      </c>
      <c r="N72" s="78" t="str">
        <f>IF(AND($D72&gt;0,N$6&gt;=$D72,N$6&lt;=$E72),1,IF(AND($F72&gt;0,N$6=$F72),"◆",""))</f>
        <v/>
      </c>
      <c r="O72" s="78" t="str">
        <f>IF(AND($D72&gt;0,O$6&gt;=$D72,O$6&lt;=$E72),1,IF(AND($F72&gt;0,O$6=$F72),"◆",""))</f>
        <v/>
      </c>
      <c r="P72" s="78" t="str">
        <f>IF(AND($D72&gt;0,P$6&gt;=$D72,P$6&lt;=$E72),1,IF(AND($F72&gt;0,P$6=$F72),"◆",""))</f>
        <v/>
      </c>
      <c r="Q72" s="78" t="str">
        <f>IF(AND($D72&gt;0,Q$6&gt;=$D72,Q$6&lt;=$E72),1,IF(AND($F72&gt;0,Q$6=$F72),"◆",""))</f>
        <v/>
      </c>
      <c r="R72" s="78" t="str">
        <f>IF(AND($D72&gt;0,R$6&gt;=$D72,R$6&lt;=$E72),1,IF(AND($F72&gt;0,R$6=$F72),"◆",""))</f>
        <v/>
      </c>
      <c r="S72" s="78" t="str">
        <f>IF(AND($D72&gt;0,S$6&gt;=$D72,S$6&lt;=$E72),1,IF(AND($F72&gt;0,S$6=$F72),"◆",""))</f>
        <v/>
      </c>
      <c r="T72" s="78" t="str">
        <f>IF(AND($D72&gt;0,T$6&gt;=$D72,T$6&lt;=$E72),1,IF(AND($F72&gt;0,T$6=$F72),"◆",""))</f>
        <v/>
      </c>
      <c r="U72" s="78" t="str">
        <f>IF(AND($D72&gt;0,U$6&gt;=$D72,U$6&lt;=$E72),1,IF(AND($F72&gt;0,U$6=$F72),"◆",""))</f>
        <v/>
      </c>
      <c r="V72" s="78" t="str">
        <f>IF(AND($D72&gt;0,V$6&gt;=$D72,V$6&lt;=$E72),1,IF(AND($F72&gt;0,V$6=$F72),"◆",""))</f>
        <v/>
      </c>
      <c r="W72" s="78" t="str">
        <f>IF(AND($D72&gt;0,W$6&gt;=$D72,W$6&lt;=$E72),1,IF(AND($F72&gt;0,W$6=$F72),"◆",""))</f>
        <v/>
      </c>
      <c r="X72" s="78" t="str">
        <f>IF(AND($D72&gt;0,X$6&gt;=$D72,X$6&lt;=$E72),1,IF(AND($F72&gt;0,X$6=$F72),"◆",""))</f>
        <v/>
      </c>
      <c r="Y72" s="78" t="str">
        <f>IF(AND($D72&gt;0,Y$6&gt;=$D72,Y$6&lt;=$E72),1,IF(AND($F72&gt;0,Y$6=$F72),"◆",""))</f>
        <v/>
      </c>
      <c r="Z72" s="78" t="str">
        <f>IF(AND($D72&gt;0,Z$6&gt;=$D72,Z$6&lt;=$E72),1,IF(AND($F72&gt;0,Z$6=$F72),"◆",""))</f>
        <v/>
      </c>
      <c r="AA72" s="78" t="str">
        <f>IF(AND($D72&gt;0,AA$6&gt;=$D72,AA$6&lt;=$E72),1,IF(AND($F72&gt;0,AA$6=$F72),"◆",""))</f>
        <v/>
      </c>
      <c r="AB72" s="78" t="str">
        <f>IF(AND($D72&gt;0,AB$6&gt;=$D72,AB$6&lt;=$E72),1,IF(AND($F72&gt;0,AB$6=$F72),"◆",""))</f>
        <v/>
      </c>
      <c r="AC72" s="78" t="str">
        <f>IF(AND($D72&gt;0,AC$6&gt;=$D72,AC$6&lt;=$E72),1,IF(AND($F72&gt;0,AC$6=$F72),"◆",""))</f>
        <v/>
      </c>
      <c r="AD72" s="78" t="str">
        <f>IF(AND($D72&gt;0,AD$6&gt;=$D72,AD$6&lt;=$E72),1,IF(AND($F72&gt;0,AD$6=$F72),"◆",""))</f>
        <v/>
      </c>
      <c r="AE72" s="78" t="str">
        <f>IF(AND($D72&gt;0,AE$6&gt;=$D72,AE$6&lt;=$E72),1,IF(AND($F72&gt;0,AE$6=$F72),"◆",""))</f>
        <v/>
      </c>
      <c r="AF72" s="78" t="str">
        <f>IF(AND($D72&gt;0,AF$6&gt;=$D72,AF$6&lt;=$E72),1,IF(AND($F72&gt;0,AF$6=$F72),"◆",""))</f>
        <v/>
      </c>
      <c r="AG72" s="78" t="str">
        <f>IF(AND($D72&gt;0,AG$6&gt;=$D72,AG$6&lt;=$E72),1,IF(AND($F72&gt;0,AG$6=$F72),"◆",""))</f>
        <v/>
      </c>
      <c r="AH72" s="78" t="str">
        <f>IF(AND($D72&gt;0,AH$6&gt;=$D72,AH$6&lt;=$E72),1,IF(AND($F72&gt;0,AH$6=$F72),"◆",""))</f>
        <v/>
      </c>
      <c r="AI72" s="78" t="str">
        <f>IF(AND($D72&gt;0,AI$6&gt;=$D72,AI$6&lt;=$E72),1,IF(AND($F72&gt;0,AI$6=$F72),"◆",""))</f>
        <v/>
      </c>
      <c r="AJ72" s="78" t="str">
        <f>IF(AND($D72&gt;0,AJ$6&gt;=$D72,AJ$6&lt;=$E72),1,IF(AND($F72&gt;0,AJ$6=$F72),"◆",""))</f>
        <v/>
      </c>
      <c r="AK72" s="78" t="str">
        <f>IF(AND($D72&gt;0,AK$6&gt;=$D72,AK$6&lt;=$E72),1,IF(AND($F72&gt;0,AK$6=$F72),"◆",""))</f>
        <v/>
      </c>
      <c r="AL72" s="78" t="str">
        <f>IF(AND($D72&gt;0,AL$6&gt;=$D72,AL$6&lt;=$E72),1,IF(AND($F72&gt;0,AL$6=$F72),"◆",""))</f>
        <v/>
      </c>
      <c r="AM72" s="78" t="str">
        <f>IF(AND($D72&gt;0,AM$6&gt;=$D72,AM$6&lt;=$E72),1,IF(AND($F72&gt;0,AM$6=$F72),"◆",""))</f>
        <v/>
      </c>
      <c r="AN72" s="78" t="str">
        <f>IF(AND($D72&gt;0,AN$6&gt;=$D72,AN$6&lt;=$E72),1,IF(AND($F72&gt;0,AN$6=$F72),"◆",""))</f>
        <v/>
      </c>
      <c r="AO72" s="78" t="str">
        <f>IF(AND($D72&gt;0,AO$6&gt;=$D72,AO$6&lt;=$E72),1,IF(AND($F72&gt;0,AO$6=$F72),"◆",""))</f>
        <v/>
      </c>
      <c r="AP72" s="78" t="str">
        <f>IF(AND($D72&gt;0,AP$6&gt;=$D72,AP$6&lt;=$E72),1,IF(AND($F72&gt;0,AP$6=$F72),"◆",""))</f>
        <v/>
      </c>
      <c r="AQ72" s="78" t="str">
        <f>IF(AND($D72&gt;0,AQ$6&gt;=$D72,AQ$6&lt;=$E72),1,IF(AND($F72&gt;0,AQ$6=$F72),"◆",""))</f>
        <v/>
      </c>
      <c r="AR72" s="78" t="str">
        <f>IF(AND($D72&gt;0,AR$6&gt;=$D72,AR$6&lt;=$E72),1,IF(AND($F72&gt;0,AR$6=$F72),"◆",""))</f>
        <v/>
      </c>
      <c r="AS72" s="78" t="str">
        <f>IF(AND($D72&gt;0,AS$6&gt;=$D72,AS$6&lt;=$E72),1,IF(AND($F72&gt;0,AS$6=$F72),"◆",""))</f>
        <v/>
      </c>
      <c r="AT72" s="78" t="str">
        <f>IF(AND($D72&gt;0,AT$6&gt;=$D72,AT$6&lt;=$E72),1,IF(AND($F72&gt;0,AT$6=$F72),"◆",""))</f>
        <v/>
      </c>
      <c r="AU72" s="78" t="str">
        <f>IF(AND($D72&gt;0,AU$6&gt;=$D72,AU$6&lt;=$E72),1,IF(AND($F72&gt;0,AU$6=$F72),"◆",""))</f>
        <v/>
      </c>
      <c r="AV72" s="78" t="str">
        <f>IF(AND($D72&gt;0,AV$6&gt;=$D72,AV$6&lt;=$E72),1,IF(AND($F72&gt;0,AV$6=$F72),"◆",""))</f>
        <v/>
      </c>
      <c r="AW72" s="78" t="str">
        <f>IF(AND($D72&gt;0,AW$6&gt;=$D72,AW$6&lt;=$E72),1,IF(AND($F72&gt;0,AW$6=$F72),"◆",""))</f>
        <v/>
      </c>
      <c r="AX72" s="78" t="str">
        <f>IF(AND($D72&gt;0,AX$6&gt;=$D72,AX$6&lt;=$E72),1,IF(AND($F72&gt;0,AX$6=$F72),"◆",""))</f>
        <v/>
      </c>
      <c r="AY72" s="78" t="str">
        <f>IF(AND($D72&gt;0,AY$6&gt;=$D72,AY$6&lt;=$E72),1,IF(AND($F72&gt;0,AY$6=$F72),"◆",""))</f>
        <v/>
      </c>
      <c r="AZ72" s="78" t="str">
        <f>IF(AND($D72&gt;0,AZ$6&gt;=$D72,AZ$6&lt;=$E72),1,IF(AND($F72&gt;0,AZ$6=$F72),"◆",""))</f>
        <v/>
      </c>
      <c r="BA72" s="78" t="str">
        <f>IF(AND($D72&gt;0,BA$6&gt;=$D72,BA$6&lt;=$E72),1,IF(AND($F72&gt;0,BA$6=$F72),"◆",""))</f>
        <v/>
      </c>
      <c r="BB72" s="78" t="str">
        <f>IF(AND($D72&gt;0,BB$6&gt;=$D72,BB$6&lt;=$E72),1,IF(AND($F72&gt;0,BB$6=$F72),"◆",""))</f>
        <v/>
      </c>
      <c r="BC72" s="78" t="str">
        <f>IF(AND($D72&gt;0,BC$6&gt;=$D72,BC$6&lt;=$E72),1,IF(AND($F72&gt;0,BC$6=$F72),"◆",""))</f>
        <v/>
      </c>
      <c r="BD72" s="78" t="str">
        <f>IF(AND($D72&gt;0,BD$6&gt;=$D72,BD$6&lt;=$E72),1,IF(AND($F72&gt;0,BD$6=$F72),"◆",""))</f>
        <v/>
      </c>
      <c r="BE72" s="78" t="str">
        <f>IF(AND($D72&gt;0,BE$6&gt;=$D72,BE$6&lt;=$E72),1,IF(AND($F72&gt;0,BE$6=$F72),"◆",""))</f>
        <v/>
      </c>
      <c r="BF72" s="78" t="str">
        <f>IF(AND($D72&gt;0,BF$6&gt;=$D72,BF$6&lt;=$E72),1,IF(AND($F72&gt;0,BF$6=$F72),"◆",""))</f>
        <v/>
      </c>
      <c r="BG72" s="78" t="str">
        <f>IF(AND($D72&gt;0,BG$6&gt;=$D72,BG$6&lt;=$E72),1,IF(AND($F72&gt;0,BG$6=$F72),"◆",""))</f>
        <v/>
      </c>
      <c r="BH72" s="78" t="str">
        <f>IF(AND($D72&gt;0,BH$6&gt;=$D72,BH$6&lt;=$E72),1,IF(AND($F72&gt;0,BH$6=$F72),"◆",""))</f>
        <v/>
      </c>
      <c r="BI72" s="78" t="str">
        <f>IF(AND($D72&gt;0,BI$6&gt;=$D72,BI$6&lt;=$E72),1,IF(AND($F72&gt;0,BI$6=$F72),"◆",""))</f>
        <v/>
      </c>
      <c r="BJ72" s="78" t="str">
        <f>IF(AND($D72&gt;0,BJ$6&gt;=$D72,BJ$6&lt;=$E72),1,IF(AND($F72&gt;0,BJ$6=$F72),"◆",""))</f>
        <v/>
      </c>
      <c r="BK72" s="78" t="str">
        <f>IF(AND($D72&gt;0,BK$6&gt;=$D72,BK$6&lt;=$E72),1,IF(AND($F72&gt;0,BK$6=$F72),"◆",""))</f>
        <v/>
      </c>
      <c r="BL72" s="78" t="str">
        <f>IF(AND($D72&gt;0,BL$6&gt;=$D72,BL$6&lt;=$E72),1,IF(AND($F72&gt;0,BL$6=$F72),"◆",""))</f>
        <v/>
      </c>
      <c r="BM72" s="78" t="str">
        <f>IF(AND($D72&gt;0,BM$6&gt;=$D72,BM$6&lt;=$E72),1,IF(AND($F72&gt;0,BM$6=$F72),"◆",""))</f>
        <v/>
      </c>
      <c r="BN72" s="78" t="str">
        <f>IF(AND($D72&gt;0,BN$6&gt;=$D72,BN$6&lt;=$E72),1,IF(AND($F72&gt;0,BN$6=$F72),"◆",""))</f>
        <v/>
      </c>
      <c r="BO72" s="78" t="str">
        <f>IF(AND($D72&gt;0,BO$6&gt;=$D72,BO$6&lt;=$E72),1,IF(AND($F72&gt;0,BO$6=$F72),"◆",""))</f>
        <v/>
      </c>
      <c r="BP72" s="78" t="str">
        <f>IF(AND($D72&gt;0,BP$6&gt;=$D72,BP$6&lt;=$E72),1,IF(AND($F72&gt;0,BP$6=$F72),"◆",""))</f>
        <v/>
      </c>
    </row>
    <row r="73">
      <c r="A73" s="75" t="str">
        <f>IF(INDEX(of_ref,67)="","",INDEX(of_num,67)&amp;"")</f>
        <v/>
      </c>
      <c r="B73" s="75" t="str">
        <f>IF(INDEX(of_ref,67)="","",INDEX(of_des,67)&amp;"")</f>
        <v/>
      </c>
      <c r="C73" s="76" t="str">
        <f>IF(INDEX(of_ref,67)="","",INDEX(of_poste,67)&amp;"")</f>
        <v/>
      </c>
      <c r="D73" s="77">
        <f>INDEX(of_start,67)</f>
        <v>0.0</v>
      </c>
      <c r="E73" s="77">
        <f>INDEX(of_end,67)</f>
        <v>0.0</v>
      </c>
      <c r="F73" s="77">
        <f>IF(N(INDEX(of_need,67))=0,0,INDEX(of_need,67))</f>
        <v>0.0</v>
      </c>
      <c r="G73" s="76" t="str">
        <f>IF(INDEX(of_ref,67)="","",INDEX(of_etat,67)&amp;"")</f>
        <v/>
      </c>
      <c r="I73" s="78" t="str">
        <f>IF(AND($D73&gt;0,I$6&gt;=$D73,I$6&lt;=$E73),1,IF(AND($F73&gt;0,I$6=$F73),"◆",""))</f>
        <v/>
      </c>
      <c r="J73" s="78" t="str">
        <f>IF(AND($D73&gt;0,J$6&gt;=$D73,J$6&lt;=$E73),1,IF(AND($F73&gt;0,J$6=$F73),"◆",""))</f>
        <v/>
      </c>
      <c r="K73" s="78" t="str">
        <f>IF(AND($D73&gt;0,K$6&gt;=$D73,K$6&lt;=$E73),1,IF(AND($F73&gt;0,K$6=$F73),"◆",""))</f>
        <v/>
      </c>
      <c r="L73" s="78" t="str">
        <f>IF(AND($D73&gt;0,L$6&gt;=$D73,L$6&lt;=$E73),1,IF(AND($F73&gt;0,L$6=$F73),"◆",""))</f>
        <v/>
      </c>
      <c r="M73" s="78" t="str">
        <f>IF(AND($D73&gt;0,M$6&gt;=$D73,M$6&lt;=$E73),1,IF(AND($F73&gt;0,M$6=$F73),"◆",""))</f>
        <v/>
      </c>
      <c r="N73" s="78" t="str">
        <f>IF(AND($D73&gt;0,N$6&gt;=$D73,N$6&lt;=$E73),1,IF(AND($F73&gt;0,N$6=$F73),"◆",""))</f>
        <v/>
      </c>
      <c r="O73" s="78" t="str">
        <f>IF(AND($D73&gt;0,O$6&gt;=$D73,O$6&lt;=$E73),1,IF(AND($F73&gt;0,O$6=$F73),"◆",""))</f>
        <v/>
      </c>
      <c r="P73" s="78" t="str">
        <f>IF(AND($D73&gt;0,P$6&gt;=$D73,P$6&lt;=$E73),1,IF(AND($F73&gt;0,P$6=$F73),"◆",""))</f>
        <v/>
      </c>
      <c r="Q73" s="78" t="str">
        <f>IF(AND($D73&gt;0,Q$6&gt;=$D73,Q$6&lt;=$E73),1,IF(AND($F73&gt;0,Q$6=$F73),"◆",""))</f>
        <v/>
      </c>
      <c r="R73" s="78" t="str">
        <f>IF(AND($D73&gt;0,R$6&gt;=$D73,R$6&lt;=$E73),1,IF(AND($F73&gt;0,R$6=$F73),"◆",""))</f>
        <v/>
      </c>
      <c r="S73" s="78" t="str">
        <f>IF(AND($D73&gt;0,S$6&gt;=$D73,S$6&lt;=$E73),1,IF(AND($F73&gt;0,S$6=$F73),"◆",""))</f>
        <v/>
      </c>
      <c r="T73" s="78" t="str">
        <f>IF(AND($D73&gt;0,T$6&gt;=$D73,T$6&lt;=$E73),1,IF(AND($F73&gt;0,T$6=$F73),"◆",""))</f>
        <v/>
      </c>
      <c r="U73" s="78" t="str">
        <f>IF(AND($D73&gt;0,U$6&gt;=$D73,U$6&lt;=$E73),1,IF(AND($F73&gt;0,U$6=$F73),"◆",""))</f>
        <v/>
      </c>
      <c r="V73" s="78" t="str">
        <f>IF(AND($D73&gt;0,V$6&gt;=$D73,V$6&lt;=$E73),1,IF(AND($F73&gt;0,V$6=$F73),"◆",""))</f>
        <v/>
      </c>
      <c r="W73" s="78" t="str">
        <f>IF(AND($D73&gt;0,W$6&gt;=$D73,W$6&lt;=$E73),1,IF(AND($F73&gt;0,W$6=$F73),"◆",""))</f>
        <v/>
      </c>
      <c r="X73" s="78" t="str">
        <f>IF(AND($D73&gt;0,X$6&gt;=$D73,X$6&lt;=$E73),1,IF(AND($F73&gt;0,X$6=$F73),"◆",""))</f>
        <v/>
      </c>
      <c r="Y73" s="78" t="str">
        <f>IF(AND($D73&gt;0,Y$6&gt;=$D73,Y$6&lt;=$E73),1,IF(AND($F73&gt;0,Y$6=$F73),"◆",""))</f>
        <v/>
      </c>
      <c r="Z73" s="78" t="str">
        <f>IF(AND($D73&gt;0,Z$6&gt;=$D73,Z$6&lt;=$E73),1,IF(AND($F73&gt;0,Z$6=$F73),"◆",""))</f>
        <v/>
      </c>
      <c r="AA73" s="78" t="str">
        <f>IF(AND($D73&gt;0,AA$6&gt;=$D73,AA$6&lt;=$E73),1,IF(AND($F73&gt;0,AA$6=$F73),"◆",""))</f>
        <v/>
      </c>
      <c r="AB73" s="78" t="str">
        <f>IF(AND($D73&gt;0,AB$6&gt;=$D73,AB$6&lt;=$E73),1,IF(AND($F73&gt;0,AB$6=$F73),"◆",""))</f>
        <v/>
      </c>
      <c r="AC73" s="78" t="str">
        <f>IF(AND($D73&gt;0,AC$6&gt;=$D73,AC$6&lt;=$E73),1,IF(AND($F73&gt;0,AC$6=$F73),"◆",""))</f>
        <v/>
      </c>
      <c r="AD73" s="78" t="str">
        <f>IF(AND($D73&gt;0,AD$6&gt;=$D73,AD$6&lt;=$E73),1,IF(AND($F73&gt;0,AD$6=$F73),"◆",""))</f>
        <v/>
      </c>
      <c r="AE73" s="78" t="str">
        <f>IF(AND($D73&gt;0,AE$6&gt;=$D73,AE$6&lt;=$E73),1,IF(AND($F73&gt;0,AE$6=$F73),"◆",""))</f>
        <v/>
      </c>
      <c r="AF73" s="78" t="str">
        <f>IF(AND($D73&gt;0,AF$6&gt;=$D73,AF$6&lt;=$E73),1,IF(AND($F73&gt;0,AF$6=$F73),"◆",""))</f>
        <v/>
      </c>
      <c r="AG73" s="78" t="str">
        <f>IF(AND($D73&gt;0,AG$6&gt;=$D73,AG$6&lt;=$E73),1,IF(AND($F73&gt;0,AG$6=$F73),"◆",""))</f>
        <v/>
      </c>
      <c r="AH73" s="78" t="str">
        <f>IF(AND($D73&gt;0,AH$6&gt;=$D73,AH$6&lt;=$E73),1,IF(AND($F73&gt;0,AH$6=$F73),"◆",""))</f>
        <v/>
      </c>
      <c r="AI73" s="78" t="str">
        <f>IF(AND($D73&gt;0,AI$6&gt;=$D73,AI$6&lt;=$E73),1,IF(AND($F73&gt;0,AI$6=$F73),"◆",""))</f>
        <v/>
      </c>
      <c r="AJ73" s="78" t="str">
        <f>IF(AND($D73&gt;0,AJ$6&gt;=$D73,AJ$6&lt;=$E73),1,IF(AND($F73&gt;0,AJ$6=$F73),"◆",""))</f>
        <v/>
      </c>
      <c r="AK73" s="78" t="str">
        <f>IF(AND($D73&gt;0,AK$6&gt;=$D73,AK$6&lt;=$E73),1,IF(AND($F73&gt;0,AK$6=$F73),"◆",""))</f>
        <v/>
      </c>
      <c r="AL73" s="78" t="str">
        <f>IF(AND($D73&gt;0,AL$6&gt;=$D73,AL$6&lt;=$E73),1,IF(AND($F73&gt;0,AL$6=$F73),"◆",""))</f>
        <v/>
      </c>
      <c r="AM73" s="78" t="str">
        <f>IF(AND($D73&gt;0,AM$6&gt;=$D73,AM$6&lt;=$E73),1,IF(AND($F73&gt;0,AM$6=$F73),"◆",""))</f>
        <v/>
      </c>
      <c r="AN73" s="78" t="str">
        <f>IF(AND($D73&gt;0,AN$6&gt;=$D73,AN$6&lt;=$E73),1,IF(AND($F73&gt;0,AN$6=$F73),"◆",""))</f>
        <v/>
      </c>
      <c r="AO73" s="78" t="str">
        <f>IF(AND($D73&gt;0,AO$6&gt;=$D73,AO$6&lt;=$E73),1,IF(AND($F73&gt;0,AO$6=$F73),"◆",""))</f>
        <v/>
      </c>
      <c r="AP73" s="78" t="str">
        <f>IF(AND($D73&gt;0,AP$6&gt;=$D73,AP$6&lt;=$E73),1,IF(AND($F73&gt;0,AP$6=$F73),"◆",""))</f>
        <v/>
      </c>
      <c r="AQ73" s="78" t="str">
        <f>IF(AND($D73&gt;0,AQ$6&gt;=$D73,AQ$6&lt;=$E73),1,IF(AND($F73&gt;0,AQ$6=$F73),"◆",""))</f>
        <v/>
      </c>
      <c r="AR73" s="78" t="str">
        <f>IF(AND($D73&gt;0,AR$6&gt;=$D73,AR$6&lt;=$E73),1,IF(AND($F73&gt;0,AR$6=$F73),"◆",""))</f>
        <v/>
      </c>
      <c r="AS73" s="78" t="str">
        <f>IF(AND($D73&gt;0,AS$6&gt;=$D73,AS$6&lt;=$E73),1,IF(AND($F73&gt;0,AS$6=$F73),"◆",""))</f>
        <v/>
      </c>
      <c r="AT73" s="78" t="str">
        <f>IF(AND($D73&gt;0,AT$6&gt;=$D73,AT$6&lt;=$E73),1,IF(AND($F73&gt;0,AT$6=$F73),"◆",""))</f>
        <v/>
      </c>
      <c r="AU73" s="78" t="str">
        <f>IF(AND($D73&gt;0,AU$6&gt;=$D73,AU$6&lt;=$E73),1,IF(AND($F73&gt;0,AU$6=$F73),"◆",""))</f>
        <v/>
      </c>
      <c r="AV73" s="78" t="str">
        <f>IF(AND($D73&gt;0,AV$6&gt;=$D73,AV$6&lt;=$E73),1,IF(AND($F73&gt;0,AV$6=$F73),"◆",""))</f>
        <v/>
      </c>
      <c r="AW73" s="78" t="str">
        <f>IF(AND($D73&gt;0,AW$6&gt;=$D73,AW$6&lt;=$E73),1,IF(AND($F73&gt;0,AW$6=$F73),"◆",""))</f>
        <v/>
      </c>
      <c r="AX73" s="78" t="str">
        <f>IF(AND($D73&gt;0,AX$6&gt;=$D73,AX$6&lt;=$E73),1,IF(AND($F73&gt;0,AX$6=$F73),"◆",""))</f>
        <v/>
      </c>
      <c r="AY73" s="78" t="str">
        <f>IF(AND($D73&gt;0,AY$6&gt;=$D73,AY$6&lt;=$E73),1,IF(AND($F73&gt;0,AY$6=$F73),"◆",""))</f>
        <v/>
      </c>
      <c r="AZ73" s="78" t="str">
        <f>IF(AND($D73&gt;0,AZ$6&gt;=$D73,AZ$6&lt;=$E73),1,IF(AND($F73&gt;0,AZ$6=$F73),"◆",""))</f>
        <v/>
      </c>
      <c r="BA73" s="78" t="str">
        <f>IF(AND($D73&gt;0,BA$6&gt;=$D73,BA$6&lt;=$E73),1,IF(AND($F73&gt;0,BA$6=$F73),"◆",""))</f>
        <v/>
      </c>
      <c r="BB73" s="78" t="str">
        <f>IF(AND($D73&gt;0,BB$6&gt;=$D73,BB$6&lt;=$E73),1,IF(AND($F73&gt;0,BB$6=$F73),"◆",""))</f>
        <v/>
      </c>
      <c r="BC73" s="78" t="str">
        <f>IF(AND($D73&gt;0,BC$6&gt;=$D73,BC$6&lt;=$E73),1,IF(AND($F73&gt;0,BC$6=$F73),"◆",""))</f>
        <v/>
      </c>
      <c r="BD73" s="78" t="str">
        <f>IF(AND($D73&gt;0,BD$6&gt;=$D73,BD$6&lt;=$E73),1,IF(AND($F73&gt;0,BD$6=$F73),"◆",""))</f>
        <v/>
      </c>
      <c r="BE73" s="78" t="str">
        <f>IF(AND($D73&gt;0,BE$6&gt;=$D73,BE$6&lt;=$E73),1,IF(AND($F73&gt;0,BE$6=$F73),"◆",""))</f>
        <v/>
      </c>
      <c r="BF73" s="78" t="str">
        <f>IF(AND($D73&gt;0,BF$6&gt;=$D73,BF$6&lt;=$E73),1,IF(AND($F73&gt;0,BF$6=$F73),"◆",""))</f>
        <v/>
      </c>
      <c r="BG73" s="78" t="str">
        <f>IF(AND($D73&gt;0,BG$6&gt;=$D73,BG$6&lt;=$E73),1,IF(AND($F73&gt;0,BG$6=$F73),"◆",""))</f>
        <v/>
      </c>
      <c r="BH73" s="78" t="str">
        <f>IF(AND($D73&gt;0,BH$6&gt;=$D73,BH$6&lt;=$E73),1,IF(AND($F73&gt;0,BH$6=$F73),"◆",""))</f>
        <v/>
      </c>
      <c r="BI73" s="78" t="str">
        <f>IF(AND($D73&gt;0,BI$6&gt;=$D73,BI$6&lt;=$E73),1,IF(AND($F73&gt;0,BI$6=$F73),"◆",""))</f>
        <v/>
      </c>
      <c r="BJ73" s="78" t="str">
        <f>IF(AND($D73&gt;0,BJ$6&gt;=$D73,BJ$6&lt;=$E73),1,IF(AND($F73&gt;0,BJ$6=$F73),"◆",""))</f>
        <v/>
      </c>
      <c r="BK73" s="78" t="str">
        <f>IF(AND($D73&gt;0,BK$6&gt;=$D73,BK$6&lt;=$E73),1,IF(AND($F73&gt;0,BK$6=$F73),"◆",""))</f>
        <v/>
      </c>
      <c r="BL73" s="78" t="str">
        <f>IF(AND($D73&gt;0,BL$6&gt;=$D73,BL$6&lt;=$E73),1,IF(AND($F73&gt;0,BL$6=$F73),"◆",""))</f>
        <v/>
      </c>
      <c r="BM73" s="78" t="str">
        <f>IF(AND($D73&gt;0,BM$6&gt;=$D73,BM$6&lt;=$E73),1,IF(AND($F73&gt;0,BM$6=$F73),"◆",""))</f>
        <v/>
      </c>
      <c r="BN73" s="78" t="str">
        <f>IF(AND($D73&gt;0,BN$6&gt;=$D73,BN$6&lt;=$E73),1,IF(AND($F73&gt;0,BN$6=$F73),"◆",""))</f>
        <v/>
      </c>
      <c r="BO73" s="78" t="str">
        <f>IF(AND($D73&gt;0,BO$6&gt;=$D73,BO$6&lt;=$E73),1,IF(AND($F73&gt;0,BO$6=$F73),"◆",""))</f>
        <v/>
      </c>
      <c r="BP73" s="78" t="str">
        <f>IF(AND($D73&gt;0,BP$6&gt;=$D73,BP$6&lt;=$E73),1,IF(AND($F73&gt;0,BP$6=$F73),"◆",""))</f>
        <v/>
      </c>
    </row>
    <row r="74">
      <c r="A74" s="75" t="str">
        <f>IF(INDEX(of_ref,68)="","",INDEX(of_num,68)&amp;"")</f>
        <v/>
      </c>
      <c r="B74" s="75" t="str">
        <f>IF(INDEX(of_ref,68)="","",INDEX(of_des,68)&amp;"")</f>
        <v/>
      </c>
      <c r="C74" s="76" t="str">
        <f>IF(INDEX(of_ref,68)="","",INDEX(of_poste,68)&amp;"")</f>
        <v/>
      </c>
      <c r="D74" s="77">
        <f>INDEX(of_start,68)</f>
        <v>0.0</v>
      </c>
      <c r="E74" s="77">
        <f>INDEX(of_end,68)</f>
        <v>0.0</v>
      </c>
      <c r="F74" s="77">
        <f>IF(N(INDEX(of_need,68))=0,0,INDEX(of_need,68))</f>
        <v>0.0</v>
      </c>
      <c r="G74" s="76" t="str">
        <f>IF(INDEX(of_ref,68)="","",INDEX(of_etat,68)&amp;"")</f>
        <v/>
      </c>
      <c r="I74" s="78" t="str">
        <f>IF(AND($D74&gt;0,I$6&gt;=$D74,I$6&lt;=$E74),1,IF(AND($F74&gt;0,I$6=$F74),"◆",""))</f>
        <v/>
      </c>
      <c r="J74" s="78" t="str">
        <f>IF(AND($D74&gt;0,J$6&gt;=$D74,J$6&lt;=$E74),1,IF(AND($F74&gt;0,J$6=$F74),"◆",""))</f>
        <v/>
      </c>
      <c r="K74" s="78" t="str">
        <f>IF(AND($D74&gt;0,K$6&gt;=$D74,K$6&lt;=$E74),1,IF(AND($F74&gt;0,K$6=$F74),"◆",""))</f>
        <v/>
      </c>
      <c r="L74" s="78" t="str">
        <f>IF(AND($D74&gt;0,L$6&gt;=$D74,L$6&lt;=$E74),1,IF(AND($F74&gt;0,L$6=$F74),"◆",""))</f>
        <v/>
      </c>
      <c r="M74" s="78" t="str">
        <f>IF(AND($D74&gt;0,M$6&gt;=$D74,M$6&lt;=$E74),1,IF(AND($F74&gt;0,M$6=$F74),"◆",""))</f>
        <v/>
      </c>
      <c r="N74" s="78" t="str">
        <f>IF(AND($D74&gt;0,N$6&gt;=$D74,N$6&lt;=$E74),1,IF(AND($F74&gt;0,N$6=$F74),"◆",""))</f>
        <v/>
      </c>
      <c r="O74" s="78" t="str">
        <f>IF(AND($D74&gt;0,O$6&gt;=$D74,O$6&lt;=$E74),1,IF(AND($F74&gt;0,O$6=$F74),"◆",""))</f>
        <v/>
      </c>
      <c r="P74" s="78" t="str">
        <f>IF(AND($D74&gt;0,P$6&gt;=$D74,P$6&lt;=$E74),1,IF(AND($F74&gt;0,P$6=$F74),"◆",""))</f>
        <v/>
      </c>
      <c r="Q74" s="78" t="str">
        <f>IF(AND($D74&gt;0,Q$6&gt;=$D74,Q$6&lt;=$E74),1,IF(AND($F74&gt;0,Q$6=$F74),"◆",""))</f>
        <v/>
      </c>
      <c r="R74" s="78" t="str">
        <f>IF(AND($D74&gt;0,R$6&gt;=$D74,R$6&lt;=$E74),1,IF(AND($F74&gt;0,R$6=$F74),"◆",""))</f>
        <v/>
      </c>
      <c r="S74" s="78" t="str">
        <f>IF(AND($D74&gt;0,S$6&gt;=$D74,S$6&lt;=$E74),1,IF(AND($F74&gt;0,S$6=$F74),"◆",""))</f>
        <v/>
      </c>
      <c r="T74" s="78" t="str">
        <f>IF(AND($D74&gt;0,T$6&gt;=$D74,T$6&lt;=$E74),1,IF(AND($F74&gt;0,T$6=$F74),"◆",""))</f>
        <v/>
      </c>
      <c r="U74" s="78" t="str">
        <f>IF(AND($D74&gt;0,U$6&gt;=$D74,U$6&lt;=$E74),1,IF(AND($F74&gt;0,U$6=$F74),"◆",""))</f>
        <v/>
      </c>
      <c r="V74" s="78" t="str">
        <f>IF(AND($D74&gt;0,V$6&gt;=$D74,V$6&lt;=$E74),1,IF(AND($F74&gt;0,V$6=$F74),"◆",""))</f>
        <v/>
      </c>
      <c r="W74" s="78" t="str">
        <f>IF(AND($D74&gt;0,W$6&gt;=$D74,W$6&lt;=$E74),1,IF(AND($F74&gt;0,W$6=$F74),"◆",""))</f>
        <v/>
      </c>
      <c r="X74" s="78" t="str">
        <f>IF(AND($D74&gt;0,X$6&gt;=$D74,X$6&lt;=$E74),1,IF(AND($F74&gt;0,X$6=$F74),"◆",""))</f>
        <v/>
      </c>
      <c r="Y74" s="78" t="str">
        <f>IF(AND($D74&gt;0,Y$6&gt;=$D74,Y$6&lt;=$E74),1,IF(AND($F74&gt;0,Y$6=$F74),"◆",""))</f>
        <v/>
      </c>
      <c r="Z74" s="78" t="str">
        <f>IF(AND($D74&gt;0,Z$6&gt;=$D74,Z$6&lt;=$E74),1,IF(AND($F74&gt;0,Z$6=$F74),"◆",""))</f>
        <v/>
      </c>
      <c r="AA74" s="78" t="str">
        <f>IF(AND($D74&gt;0,AA$6&gt;=$D74,AA$6&lt;=$E74),1,IF(AND($F74&gt;0,AA$6=$F74),"◆",""))</f>
        <v/>
      </c>
      <c r="AB74" s="78" t="str">
        <f>IF(AND($D74&gt;0,AB$6&gt;=$D74,AB$6&lt;=$E74),1,IF(AND($F74&gt;0,AB$6=$F74),"◆",""))</f>
        <v/>
      </c>
      <c r="AC74" s="78" t="str">
        <f>IF(AND($D74&gt;0,AC$6&gt;=$D74,AC$6&lt;=$E74),1,IF(AND($F74&gt;0,AC$6=$F74),"◆",""))</f>
        <v/>
      </c>
      <c r="AD74" s="78" t="str">
        <f>IF(AND($D74&gt;0,AD$6&gt;=$D74,AD$6&lt;=$E74),1,IF(AND($F74&gt;0,AD$6=$F74),"◆",""))</f>
        <v/>
      </c>
      <c r="AE74" s="78" t="str">
        <f>IF(AND($D74&gt;0,AE$6&gt;=$D74,AE$6&lt;=$E74),1,IF(AND($F74&gt;0,AE$6=$F74),"◆",""))</f>
        <v/>
      </c>
      <c r="AF74" s="78" t="str">
        <f>IF(AND($D74&gt;0,AF$6&gt;=$D74,AF$6&lt;=$E74),1,IF(AND($F74&gt;0,AF$6=$F74),"◆",""))</f>
        <v/>
      </c>
      <c r="AG74" s="78" t="str">
        <f>IF(AND($D74&gt;0,AG$6&gt;=$D74,AG$6&lt;=$E74),1,IF(AND($F74&gt;0,AG$6=$F74),"◆",""))</f>
        <v/>
      </c>
      <c r="AH74" s="78" t="str">
        <f>IF(AND($D74&gt;0,AH$6&gt;=$D74,AH$6&lt;=$E74),1,IF(AND($F74&gt;0,AH$6=$F74),"◆",""))</f>
        <v/>
      </c>
      <c r="AI74" s="78" t="str">
        <f>IF(AND($D74&gt;0,AI$6&gt;=$D74,AI$6&lt;=$E74),1,IF(AND($F74&gt;0,AI$6=$F74),"◆",""))</f>
        <v/>
      </c>
      <c r="AJ74" s="78" t="str">
        <f>IF(AND($D74&gt;0,AJ$6&gt;=$D74,AJ$6&lt;=$E74),1,IF(AND($F74&gt;0,AJ$6=$F74),"◆",""))</f>
        <v/>
      </c>
      <c r="AK74" s="78" t="str">
        <f>IF(AND($D74&gt;0,AK$6&gt;=$D74,AK$6&lt;=$E74),1,IF(AND($F74&gt;0,AK$6=$F74),"◆",""))</f>
        <v/>
      </c>
      <c r="AL74" s="78" t="str">
        <f>IF(AND($D74&gt;0,AL$6&gt;=$D74,AL$6&lt;=$E74),1,IF(AND($F74&gt;0,AL$6=$F74),"◆",""))</f>
        <v/>
      </c>
      <c r="AM74" s="78" t="str">
        <f>IF(AND($D74&gt;0,AM$6&gt;=$D74,AM$6&lt;=$E74),1,IF(AND($F74&gt;0,AM$6=$F74),"◆",""))</f>
        <v/>
      </c>
      <c r="AN74" s="78" t="str">
        <f>IF(AND($D74&gt;0,AN$6&gt;=$D74,AN$6&lt;=$E74),1,IF(AND($F74&gt;0,AN$6=$F74),"◆",""))</f>
        <v/>
      </c>
      <c r="AO74" s="78" t="str">
        <f>IF(AND($D74&gt;0,AO$6&gt;=$D74,AO$6&lt;=$E74),1,IF(AND($F74&gt;0,AO$6=$F74),"◆",""))</f>
        <v/>
      </c>
      <c r="AP74" s="78" t="str">
        <f>IF(AND($D74&gt;0,AP$6&gt;=$D74,AP$6&lt;=$E74),1,IF(AND($F74&gt;0,AP$6=$F74),"◆",""))</f>
        <v/>
      </c>
      <c r="AQ74" s="78" t="str">
        <f>IF(AND($D74&gt;0,AQ$6&gt;=$D74,AQ$6&lt;=$E74),1,IF(AND($F74&gt;0,AQ$6=$F74),"◆",""))</f>
        <v/>
      </c>
      <c r="AR74" s="78" t="str">
        <f>IF(AND($D74&gt;0,AR$6&gt;=$D74,AR$6&lt;=$E74),1,IF(AND($F74&gt;0,AR$6=$F74),"◆",""))</f>
        <v/>
      </c>
      <c r="AS74" s="78" t="str">
        <f>IF(AND($D74&gt;0,AS$6&gt;=$D74,AS$6&lt;=$E74),1,IF(AND($F74&gt;0,AS$6=$F74),"◆",""))</f>
        <v/>
      </c>
      <c r="AT74" s="78" t="str">
        <f>IF(AND($D74&gt;0,AT$6&gt;=$D74,AT$6&lt;=$E74),1,IF(AND($F74&gt;0,AT$6=$F74),"◆",""))</f>
        <v/>
      </c>
      <c r="AU74" s="78" t="str">
        <f>IF(AND($D74&gt;0,AU$6&gt;=$D74,AU$6&lt;=$E74),1,IF(AND($F74&gt;0,AU$6=$F74),"◆",""))</f>
        <v/>
      </c>
      <c r="AV74" s="78" t="str">
        <f>IF(AND($D74&gt;0,AV$6&gt;=$D74,AV$6&lt;=$E74),1,IF(AND($F74&gt;0,AV$6=$F74),"◆",""))</f>
        <v/>
      </c>
      <c r="AW74" s="78" t="str">
        <f>IF(AND($D74&gt;0,AW$6&gt;=$D74,AW$6&lt;=$E74),1,IF(AND($F74&gt;0,AW$6=$F74),"◆",""))</f>
        <v/>
      </c>
      <c r="AX74" s="78" t="str">
        <f>IF(AND($D74&gt;0,AX$6&gt;=$D74,AX$6&lt;=$E74),1,IF(AND($F74&gt;0,AX$6=$F74),"◆",""))</f>
        <v/>
      </c>
      <c r="AY74" s="78" t="str">
        <f>IF(AND($D74&gt;0,AY$6&gt;=$D74,AY$6&lt;=$E74),1,IF(AND($F74&gt;0,AY$6=$F74),"◆",""))</f>
        <v/>
      </c>
      <c r="AZ74" s="78" t="str">
        <f>IF(AND($D74&gt;0,AZ$6&gt;=$D74,AZ$6&lt;=$E74),1,IF(AND($F74&gt;0,AZ$6=$F74),"◆",""))</f>
        <v/>
      </c>
      <c r="BA74" s="78" t="str">
        <f>IF(AND($D74&gt;0,BA$6&gt;=$D74,BA$6&lt;=$E74),1,IF(AND($F74&gt;0,BA$6=$F74),"◆",""))</f>
        <v/>
      </c>
      <c r="BB74" s="78" t="str">
        <f>IF(AND($D74&gt;0,BB$6&gt;=$D74,BB$6&lt;=$E74),1,IF(AND($F74&gt;0,BB$6=$F74),"◆",""))</f>
        <v/>
      </c>
      <c r="BC74" s="78" t="str">
        <f>IF(AND($D74&gt;0,BC$6&gt;=$D74,BC$6&lt;=$E74),1,IF(AND($F74&gt;0,BC$6=$F74),"◆",""))</f>
        <v/>
      </c>
      <c r="BD74" s="78" t="str">
        <f>IF(AND($D74&gt;0,BD$6&gt;=$D74,BD$6&lt;=$E74),1,IF(AND($F74&gt;0,BD$6=$F74),"◆",""))</f>
        <v/>
      </c>
      <c r="BE74" s="78" t="str">
        <f>IF(AND($D74&gt;0,BE$6&gt;=$D74,BE$6&lt;=$E74),1,IF(AND($F74&gt;0,BE$6=$F74),"◆",""))</f>
        <v/>
      </c>
      <c r="BF74" s="78" t="str">
        <f>IF(AND($D74&gt;0,BF$6&gt;=$D74,BF$6&lt;=$E74),1,IF(AND($F74&gt;0,BF$6=$F74),"◆",""))</f>
        <v/>
      </c>
      <c r="BG74" s="78" t="str">
        <f>IF(AND($D74&gt;0,BG$6&gt;=$D74,BG$6&lt;=$E74),1,IF(AND($F74&gt;0,BG$6=$F74),"◆",""))</f>
        <v/>
      </c>
      <c r="BH74" s="78" t="str">
        <f>IF(AND($D74&gt;0,BH$6&gt;=$D74,BH$6&lt;=$E74),1,IF(AND($F74&gt;0,BH$6=$F74),"◆",""))</f>
        <v/>
      </c>
      <c r="BI74" s="78" t="str">
        <f>IF(AND($D74&gt;0,BI$6&gt;=$D74,BI$6&lt;=$E74),1,IF(AND($F74&gt;0,BI$6=$F74),"◆",""))</f>
        <v/>
      </c>
      <c r="BJ74" s="78" t="str">
        <f>IF(AND($D74&gt;0,BJ$6&gt;=$D74,BJ$6&lt;=$E74),1,IF(AND($F74&gt;0,BJ$6=$F74),"◆",""))</f>
        <v/>
      </c>
      <c r="BK74" s="78" t="str">
        <f>IF(AND($D74&gt;0,BK$6&gt;=$D74,BK$6&lt;=$E74),1,IF(AND($F74&gt;0,BK$6=$F74),"◆",""))</f>
        <v/>
      </c>
      <c r="BL74" s="78" t="str">
        <f>IF(AND($D74&gt;0,BL$6&gt;=$D74,BL$6&lt;=$E74),1,IF(AND($F74&gt;0,BL$6=$F74),"◆",""))</f>
        <v/>
      </c>
      <c r="BM74" s="78" t="str">
        <f>IF(AND($D74&gt;0,BM$6&gt;=$D74,BM$6&lt;=$E74),1,IF(AND($F74&gt;0,BM$6=$F74),"◆",""))</f>
        <v/>
      </c>
      <c r="BN74" s="78" t="str">
        <f>IF(AND($D74&gt;0,BN$6&gt;=$D74,BN$6&lt;=$E74),1,IF(AND($F74&gt;0,BN$6=$F74),"◆",""))</f>
        <v/>
      </c>
      <c r="BO74" s="78" t="str">
        <f>IF(AND($D74&gt;0,BO$6&gt;=$D74,BO$6&lt;=$E74),1,IF(AND($F74&gt;0,BO$6=$F74),"◆",""))</f>
        <v/>
      </c>
      <c r="BP74" s="78" t="str">
        <f>IF(AND($D74&gt;0,BP$6&gt;=$D74,BP$6&lt;=$E74),1,IF(AND($F74&gt;0,BP$6=$F74),"◆",""))</f>
        <v/>
      </c>
    </row>
    <row r="75">
      <c r="A75" s="75" t="str">
        <f>IF(INDEX(of_ref,69)="","",INDEX(of_num,69)&amp;"")</f>
        <v/>
      </c>
      <c r="B75" s="75" t="str">
        <f>IF(INDEX(of_ref,69)="","",INDEX(of_des,69)&amp;"")</f>
        <v/>
      </c>
      <c r="C75" s="76" t="str">
        <f>IF(INDEX(of_ref,69)="","",INDEX(of_poste,69)&amp;"")</f>
        <v/>
      </c>
      <c r="D75" s="77">
        <f>INDEX(of_start,69)</f>
        <v>0.0</v>
      </c>
      <c r="E75" s="77">
        <f>INDEX(of_end,69)</f>
        <v>0.0</v>
      </c>
      <c r="F75" s="77">
        <f>IF(N(INDEX(of_need,69))=0,0,INDEX(of_need,69))</f>
        <v>0.0</v>
      </c>
      <c r="G75" s="76" t="str">
        <f>IF(INDEX(of_ref,69)="","",INDEX(of_etat,69)&amp;"")</f>
        <v/>
      </c>
      <c r="I75" s="78" t="str">
        <f>IF(AND($D75&gt;0,I$6&gt;=$D75,I$6&lt;=$E75),1,IF(AND($F75&gt;0,I$6=$F75),"◆",""))</f>
        <v/>
      </c>
      <c r="J75" s="78" t="str">
        <f>IF(AND($D75&gt;0,J$6&gt;=$D75,J$6&lt;=$E75),1,IF(AND($F75&gt;0,J$6=$F75),"◆",""))</f>
        <v/>
      </c>
      <c r="K75" s="78" t="str">
        <f>IF(AND($D75&gt;0,K$6&gt;=$D75,K$6&lt;=$E75),1,IF(AND($F75&gt;0,K$6=$F75),"◆",""))</f>
        <v/>
      </c>
      <c r="L75" s="78" t="str">
        <f>IF(AND($D75&gt;0,L$6&gt;=$D75,L$6&lt;=$E75),1,IF(AND($F75&gt;0,L$6=$F75),"◆",""))</f>
        <v/>
      </c>
      <c r="M75" s="78" t="str">
        <f>IF(AND($D75&gt;0,M$6&gt;=$D75,M$6&lt;=$E75),1,IF(AND($F75&gt;0,M$6=$F75),"◆",""))</f>
        <v/>
      </c>
      <c r="N75" s="78" t="str">
        <f>IF(AND($D75&gt;0,N$6&gt;=$D75,N$6&lt;=$E75),1,IF(AND($F75&gt;0,N$6=$F75),"◆",""))</f>
        <v/>
      </c>
      <c r="O75" s="78" t="str">
        <f>IF(AND($D75&gt;0,O$6&gt;=$D75,O$6&lt;=$E75),1,IF(AND($F75&gt;0,O$6=$F75),"◆",""))</f>
        <v/>
      </c>
      <c r="P75" s="78" t="str">
        <f>IF(AND($D75&gt;0,P$6&gt;=$D75,P$6&lt;=$E75),1,IF(AND($F75&gt;0,P$6=$F75),"◆",""))</f>
        <v/>
      </c>
      <c r="Q75" s="78" t="str">
        <f>IF(AND($D75&gt;0,Q$6&gt;=$D75,Q$6&lt;=$E75),1,IF(AND($F75&gt;0,Q$6=$F75),"◆",""))</f>
        <v/>
      </c>
      <c r="R75" s="78" t="str">
        <f>IF(AND($D75&gt;0,R$6&gt;=$D75,R$6&lt;=$E75),1,IF(AND($F75&gt;0,R$6=$F75),"◆",""))</f>
        <v/>
      </c>
      <c r="S75" s="78" t="str">
        <f>IF(AND($D75&gt;0,S$6&gt;=$D75,S$6&lt;=$E75),1,IF(AND($F75&gt;0,S$6=$F75),"◆",""))</f>
        <v/>
      </c>
      <c r="T75" s="78" t="str">
        <f>IF(AND($D75&gt;0,T$6&gt;=$D75,T$6&lt;=$E75),1,IF(AND($F75&gt;0,T$6=$F75),"◆",""))</f>
        <v/>
      </c>
      <c r="U75" s="78" t="str">
        <f>IF(AND($D75&gt;0,U$6&gt;=$D75,U$6&lt;=$E75),1,IF(AND($F75&gt;0,U$6=$F75),"◆",""))</f>
        <v/>
      </c>
      <c r="V75" s="78" t="str">
        <f>IF(AND($D75&gt;0,V$6&gt;=$D75,V$6&lt;=$E75),1,IF(AND($F75&gt;0,V$6=$F75),"◆",""))</f>
        <v/>
      </c>
      <c r="W75" s="78" t="str">
        <f>IF(AND($D75&gt;0,W$6&gt;=$D75,W$6&lt;=$E75),1,IF(AND($F75&gt;0,W$6=$F75),"◆",""))</f>
        <v/>
      </c>
      <c r="X75" s="78" t="str">
        <f>IF(AND($D75&gt;0,X$6&gt;=$D75,X$6&lt;=$E75),1,IF(AND($F75&gt;0,X$6=$F75),"◆",""))</f>
        <v/>
      </c>
      <c r="Y75" s="78" t="str">
        <f>IF(AND($D75&gt;0,Y$6&gt;=$D75,Y$6&lt;=$E75),1,IF(AND($F75&gt;0,Y$6=$F75),"◆",""))</f>
        <v/>
      </c>
      <c r="Z75" s="78" t="str">
        <f>IF(AND($D75&gt;0,Z$6&gt;=$D75,Z$6&lt;=$E75),1,IF(AND($F75&gt;0,Z$6=$F75),"◆",""))</f>
        <v/>
      </c>
      <c r="AA75" s="78" t="str">
        <f>IF(AND($D75&gt;0,AA$6&gt;=$D75,AA$6&lt;=$E75),1,IF(AND($F75&gt;0,AA$6=$F75),"◆",""))</f>
        <v/>
      </c>
      <c r="AB75" s="78" t="str">
        <f>IF(AND($D75&gt;0,AB$6&gt;=$D75,AB$6&lt;=$E75),1,IF(AND($F75&gt;0,AB$6=$F75),"◆",""))</f>
        <v/>
      </c>
      <c r="AC75" s="78" t="str">
        <f>IF(AND($D75&gt;0,AC$6&gt;=$D75,AC$6&lt;=$E75),1,IF(AND($F75&gt;0,AC$6=$F75),"◆",""))</f>
        <v/>
      </c>
      <c r="AD75" s="78" t="str">
        <f>IF(AND($D75&gt;0,AD$6&gt;=$D75,AD$6&lt;=$E75),1,IF(AND($F75&gt;0,AD$6=$F75),"◆",""))</f>
        <v/>
      </c>
      <c r="AE75" s="78" t="str">
        <f>IF(AND($D75&gt;0,AE$6&gt;=$D75,AE$6&lt;=$E75),1,IF(AND($F75&gt;0,AE$6=$F75),"◆",""))</f>
        <v/>
      </c>
      <c r="AF75" s="78" t="str">
        <f>IF(AND($D75&gt;0,AF$6&gt;=$D75,AF$6&lt;=$E75),1,IF(AND($F75&gt;0,AF$6=$F75),"◆",""))</f>
        <v/>
      </c>
      <c r="AG75" s="78" t="str">
        <f>IF(AND($D75&gt;0,AG$6&gt;=$D75,AG$6&lt;=$E75),1,IF(AND($F75&gt;0,AG$6=$F75),"◆",""))</f>
        <v/>
      </c>
      <c r="AH75" s="78" t="str">
        <f>IF(AND($D75&gt;0,AH$6&gt;=$D75,AH$6&lt;=$E75),1,IF(AND($F75&gt;0,AH$6=$F75),"◆",""))</f>
        <v/>
      </c>
      <c r="AI75" s="78" t="str">
        <f>IF(AND($D75&gt;0,AI$6&gt;=$D75,AI$6&lt;=$E75),1,IF(AND($F75&gt;0,AI$6=$F75),"◆",""))</f>
        <v/>
      </c>
      <c r="AJ75" s="78" t="str">
        <f>IF(AND($D75&gt;0,AJ$6&gt;=$D75,AJ$6&lt;=$E75),1,IF(AND($F75&gt;0,AJ$6=$F75),"◆",""))</f>
        <v/>
      </c>
      <c r="AK75" s="78" t="str">
        <f>IF(AND($D75&gt;0,AK$6&gt;=$D75,AK$6&lt;=$E75),1,IF(AND($F75&gt;0,AK$6=$F75),"◆",""))</f>
        <v/>
      </c>
      <c r="AL75" s="78" t="str">
        <f>IF(AND($D75&gt;0,AL$6&gt;=$D75,AL$6&lt;=$E75),1,IF(AND($F75&gt;0,AL$6=$F75),"◆",""))</f>
        <v/>
      </c>
      <c r="AM75" s="78" t="str">
        <f>IF(AND($D75&gt;0,AM$6&gt;=$D75,AM$6&lt;=$E75),1,IF(AND($F75&gt;0,AM$6=$F75),"◆",""))</f>
        <v/>
      </c>
      <c r="AN75" s="78" t="str">
        <f>IF(AND($D75&gt;0,AN$6&gt;=$D75,AN$6&lt;=$E75),1,IF(AND($F75&gt;0,AN$6=$F75),"◆",""))</f>
        <v/>
      </c>
      <c r="AO75" s="78" t="str">
        <f>IF(AND($D75&gt;0,AO$6&gt;=$D75,AO$6&lt;=$E75),1,IF(AND($F75&gt;0,AO$6=$F75),"◆",""))</f>
        <v/>
      </c>
      <c r="AP75" s="78" t="str">
        <f>IF(AND($D75&gt;0,AP$6&gt;=$D75,AP$6&lt;=$E75),1,IF(AND($F75&gt;0,AP$6=$F75),"◆",""))</f>
        <v/>
      </c>
      <c r="AQ75" s="78" t="str">
        <f>IF(AND($D75&gt;0,AQ$6&gt;=$D75,AQ$6&lt;=$E75),1,IF(AND($F75&gt;0,AQ$6=$F75),"◆",""))</f>
        <v/>
      </c>
      <c r="AR75" s="78" t="str">
        <f>IF(AND($D75&gt;0,AR$6&gt;=$D75,AR$6&lt;=$E75),1,IF(AND($F75&gt;0,AR$6=$F75),"◆",""))</f>
        <v/>
      </c>
      <c r="AS75" s="78" t="str">
        <f>IF(AND($D75&gt;0,AS$6&gt;=$D75,AS$6&lt;=$E75),1,IF(AND($F75&gt;0,AS$6=$F75),"◆",""))</f>
        <v/>
      </c>
      <c r="AT75" s="78" t="str">
        <f>IF(AND($D75&gt;0,AT$6&gt;=$D75,AT$6&lt;=$E75),1,IF(AND($F75&gt;0,AT$6=$F75),"◆",""))</f>
        <v/>
      </c>
      <c r="AU75" s="78" t="str">
        <f>IF(AND($D75&gt;0,AU$6&gt;=$D75,AU$6&lt;=$E75),1,IF(AND($F75&gt;0,AU$6=$F75),"◆",""))</f>
        <v/>
      </c>
      <c r="AV75" s="78" t="str">
        <f>IF(AND($D75&gt;0,AV$6&gt;=$D75,AV$6&lt;=$E75),1,IF(AND($F75&gt;0,AV$6=$F75),"◆",""))</f>
        <v/>
      </c>
      <c r="AW75" s="78" t="str">
        <f>IF(AND($D75&gt;0,AW$6&gt;=$D75,AW$6&lt;=$E75),1,IF(AND($F75&gt;0,AW$6=$F75),"◆",""))</f>
        <v/>
      </c>
      <c r="AX75" s="78" t="str">
        <f>IF(AND($D75&gt;0,AX$6&gt;=$D75,AX$6&lt;=$E75),1,IF(AND($F75&gt;0,AX$6=$F75),"◆",""))</f>
        <v/>
      </c>
      <c r="AY75" s="78" t="str">
        <f>IF(AND($D75&gt;0,AY$6&gt;=$D75,AY$6&lt;=$E75),1,IF(AND($F75&gt;0,AY$6=$F75),"◆",""))</f>
        <v/>
      </c>
      <c r="AZ75" s="78" t="str">
        <f>IF(AND($D75&gt;0,AZ$6&gt;=$D75,AZ$6&lt;=$E75),1,IF(AND($F75&gt;0,AZ$6=$F75),"◆",""))</f>
        <v/>
      </c>
      <c r="BA75" s="78" t="str">
        <f>IF(AND($D75&gt;0,BA$6&gt;=$D75,BA$6&lt;=$E75),1,IF(AND($F75&gt;0,BA$6=$F75),"◆",""))</f>
        <v/>
      </c>
      <c r="BB75" s="78" t="str">
        <f>IF(AND($D75&gt;0,BB$6&gt;=$D75,BB$6&lt;=$E75),1,IF(AND($F75&gt;0,BB$6=$F75),"◆",""))</f>
        <v/>
      </c>
      <c r="BC75" s="78" t="str">
        <f>IF(AND($D75&gt;0,BC$6&gt;=$D75,BC$6&lt;=$E75),1,IF(AND($F75&gt;0,BC$6=$F75),"◆",""))</f>
        <v/>
      </c>
      <c r="BD75" s="78" t="str">
        <f>IF(AND($D75&gt;0,BD$6&gt;=$D75,BD$6&lt;=$E75),1,IF(AND($F75&gt;0,BD$6=$F75),"◆",""))</f>
        <v/>
      </c>
      <c r="BE75" s="78" t="str">
        <f>IF(AND($D75&gt;0,BE$6&gt;=$D75,BE$6&lt;=$E75),1,IF(AND($F75&gt;0,BE$6=$F75),"◆",""))</f>
        <v/>
      </c>
      <c r="BF75" s="78" t="str">
        <f>IF(AND($D75&gt;0,BF$6&gt;=$D75,BF$6&lt;=$E75),1,IF(AND($F75&gt;0,BF$6=$F75),"◆",""))</f>
        <v/>
      </c>
      <c r="BG75" s="78" t="str">
        <f>IF(AND($D75&gt;0,BG$6&gt;=$D75,BG$6&lt;=$E75),1,IF(AND($F75&gt;0,BG$6=$F75),"◆",""))</f>
        <v/>
      </c>
      <c r="BH75" s="78" t="str">
        <f>IF(AND($D75&gt;0,BH$6&gt;=$D75,BH$6&lt;=$E75),1,IF(AND($F75&gt;0,BH$6=$F75),"◆",""))</f>
        <v/>
      </c>
      <c r="BI75" s="78" t="str">
        <f>IF(AND($D75&gt;0,BI$6&gt;=$D75,BI$6&lt;=$E75),1,IF(AND($F75&gt;0,BI$6=$F75),"◆",""))</f>
        <v/>
      </c>
      <c r="BJ75" s="78" t="str">
        <f>IF(AND($D75&gt;0,BJ$6&gt;=$D75,BJ$6&lt;=$E75),1,IF(AND($F75&gt;0,BJ$6=$F75),"◆",""))</f>
        <v/>
      </c>
      <c r="BK75" s="78" t="str">
        <f>IF(AND($D75&gt;0,BK$6&gt;=$D75,BK$6&lt;=$E75),1,IF(AND($F75&gt;0,BK$6=$F75),"◆",""))</f>
        <v/>
      </c>
      <c r="BL75" s="78" t="str">
        <f>IF(AND($D75&gt;0,BL$6&gt;=$D75,BL$6&lt;=$E75),1,IF(AND($F75&gt;0,BL$6=$F75),"◆",""))</f>
        <v/>
      </c>
      <c r="BM75" s="78" t="str">
        <f>IF(AND($D75&gt;0,BM$6&gt;=$D75,BM$6&lt;=$E75),1,IF(AND($F75&gt;0,BM$6=$F75),"◆",""))</f>
        <v/>
      </c>
      <c r="BN75" s="78" t="str">
        <f>IF(AND($D75&gt;0,BN$6&gt;=$D75,BN$6&lt;=$E75),1,IF(AND($F75&gt;0,BN$6=$F75),"◆",""))</f>
        <v/>
      </c>
      <c r="BO75" s="78" t="str">
        <f>IF(AND($D75&gt;0,BO$6&gt;=$D75,BO$6&lt;=$E75),1,IF(AND($F75&gt;0,BO$6=$F75),"◆",""))</f>
        <v/>
      </c>
      <c r="BP75" s="78" t="str">
        <f>IF(AND($D75&gt;0,BP$6&gt;=$D75,BP$6&lt;=$E75),1,IF(AND($F75&gt;0,BP$6=$F75),"◆",""))</f>
        <v/>
      </c>
    </row>
    <row r="76">
      <c r="A76" s="75" t="str">
        <f>IF(INDEX(of_ref,70)="","",INDEX(of_num,70)&amp;"")</f>
        <v/>
      </c>
      <c r="B76" s="75" t="str">
        <f>IF(INDEX(of_ref,70)="","",INDEX(of_des,70)&amp;"")</f>
        <v/>
      </c>
      <c r="C76" s="76" t="str">
        <f>IF(INDEX(of_ref,70)="","",INDEX(of_poste,70)&amp;"")</f>
        <v/>
      </c>
      <c r="D76" s="77">
        <f>INDEX(of_start,70)</f>
        <v>0.0</v>
      </c>
      <c r="E76" s="77">
        <f>INDEX(of_end,70)</f>
        <v>0.0</v>
      </c>
      <c r="F76" s="77">
        <f>IF(N(INDEX(of_need,70))=0,0,INDEX(of_need,70))</f>
        <v>0.0</v>
      </c>
      <c r="G76" s="76" t="str">
        <f>IF(INDEX(of_ref,70)="","",INDEX(of_etat,70)&amp;"")</f>
        <v/>
      </c>
      <c r="I76" s="78" t="str">
        <f>IF(AND($D76&gt;0,I$6&gt;=$D76,I$6&lt;=$E76),1,IF(AND($F76&gt;0,I$6=$F76),"◆",""))</f>
        <v/>
      </c>
      <c r="J76" s="78" t="str">
        <f>IF(AND($D76&gt;0,J$6&gt;=$D76,J$6&lt;=$E76),1,IF(AND($F76&gt;0,J$6=$F76),"◆",""))</f>
        <v/>
      </c>
      <c r="K76" s="78" t="str">
        <f>IF(AND($D76&gt;0,K$6&gt;=$D76,K$6&lt;=$E76),1,IF(AND($F76&gt;0,K$6=$F76),"◆",""))</f>
        <v/>
      </c>
      <c r="L76" s="78" t="str">
        <f>IF(AND($D76&gt;0,L$6&gt;=$D76,L$6&lt;=$E76),1,IF(AND($F76&gt;0,L$6=$F76),"◆",""))</f>
        <v/>
      </c>
      <c r="M76" s="78" t="str">
        <f>IF(AND($D76&gt;0,M$6&gt;=$D76,M$6&lt;=$E76),1,IF(AND($F76&gt;0,M$6=$F76),"◆",""))</f>
        <v/>
      </c>
      <c r="N76" s="78" t="str">
        <f>IF(AND($D76&gt;0,N$6&gt;=$D76,N$6&lt;=$E76),1,IF(AND($F76&gt;0,N$6=$F76),"◆",""))</f>
        <v/>
      </c>
      <c r="O76" s="78" t="str">
        <f>IF(AND($D76&gt;0,O$6&gt;=$D76,O$6&lt;=$E76),1,IF(AND($F76&gt;0,O$6=$F76),"◆",""))</f>
        <v/>
      </c>
      <c r="P76" s="78" t="str">
        <f>IF(AND($D76&gt;0,P$6&gt;=$D76,P$6&lt;=$E76),1,IF(AND($F76&gt;0,P$6=$F76),"◆",""))</f>
        <v/>
      </c>
      <c r="Q76" s="78" t="str">
        <f>IF(AND($D76&gt;0,Q$6&gt;=$D76,Q$6&lt;=$E76),1,IF(AND($F76&gt;0,Q$6=$F76),"◆",""))</f>
        <v/>
      </c>
      <c r="R76" s="78" t="str">
        <f>IF(AND($D76&gt;0,R$6&gt;=$D76,R$6&lt;=$E76),1,IF(AND($F76&gt;0,R$6=$F76),"◆",""))</f>
        <v/>
      </c>
      <c r="S76" s="78" t="str">
        <f>IF(AND($D76&gt;0,S$6&gt;=$D76,S$6&lt;=$E76),1,IF(AND($F76&gt;0,S$6=$F76),"◆",""))</f>
        <v/>
      </c>
      <c r="T76" s="78" t="str">
        <f>IF(AND($D76&gt;0,T$6&gt;=$D76,T$6&lt;=$E76),1,IF(AND($F76&gt;0,T$6=$F76),"◆",""))</f>
        <v/>
      </c>
      <c r="U76" s="78" t="str">
        <f>IF(AND($D76&gt;0,U$6&gt;=$D76,U$6&lt;=$E76),1,IF(AND($F76&gt;0,U$6=$F76),"◆",""))</f>
        <v/>
      </c>
      <c r="V76" s="78" t="str">
        <f>IF(AND($D76&gt;0,V$6&gt;=$D76,V$6&lt;=$E76),1,IF(AND($F76&gt;0,V$6=$F76),"◆",""))</f>
        <v/>
      </c>
      <c r="W76" s="78" t="str">
        <f>IF(AND($D76&gt;0,W$6&gt;=$D76,W$6&lt;=$E76),1,IF(AND($F76&gt;0,W$6=$F76),"◆",""))</f>
        <v/>
      </c>
      <c r="X76" s="78" t="str">
        <f>IF(AND($D76&gt;0,X$6&gt;=$D76,X$6&lt;=$E76),1,IF(AND($F76&gt;0,X$6=$F76),"◆",""))</f>
        <v/>
      </c>
      <c r="Y76" s="78" t="str">
        <f>IF(AND($D76&gt;0,Y$6&gt;=$D76,Y$6&lt;=$E76),1,IF(AND($F76&gt;0,Y$6=$F76),"◆",""))</f>
        <v/>
      </c>
      <c r="Z76" s="78" t="str">
        <f>IF(AND($D76&gt;0,Z$6&gt;=$D76,Z$6&lt;=$E76),1,IF(AND($F76&gt;0,Z$6=$F76),"◆",""))</f>
        <v/>
      </c>
      <c r="AA76" s="78" t="str">
        <f>IF(AND($D76&gt;0,AA$6&gt;=$D76,AA$6&lt;=$E76),1,IF(AND($F76&gt;0,AA$6=$F76),"◆",""))</f>
        <v/>
      </c>
      <c r="AB76" s="78" t="str">
        <f>IF(AND($D76&gt;0,AB$6&gt;=$D76,AB$6&lt;=$E76),1,IF(AND($F76&gt;0,AB$6=$F76),"◆",""))</f>
        <v/>
      </c>
      <c r="AC76" s="78" t="str">
        <f>IF(AND($D76&gt;0,AC$6&gt;=$D76,AC$6&lt;=$E76),1,IF(AND($F76&gt;0,AC$6=$F76),"◆",""))</f>
        <v/>
      </c>
      <c r="AD76" s="78" t="str">
        <f>IF(AND($D76&gt;0,AD$6&gt;=$D76,AD$6&lt;=$E76),1,IF(AND($F76&gt;0,AD$6=$F76),"◆",""))</f>
        <v/>
      </c>
      <c r="AE76" s="78" t="str">
        <f>IF(AND($D76&gt;0,AE$6&gt;=$D76,AE$6&lt;=$E76),1,IF(AND($F76&gt;0,AE$6=$F76),"◆",""))</f>
        <v/>
      </c>
      <c r="AF76" s="78" t="str">
        <f>IF(AND($D76&gt;0,AF$6&gt;=$D76,AF$6&lt;=$E76),1,IF(AND($F76&gt;0,AF$6=$F76),"◆",""))</f>
        <v/>
      </c>
      <c r="AG76" s="78" t="str">
        <f>IF(AND($D76&gt;0,AG$6&gt;=$D76,AG$6&lt;=$E76),1,IF(AND($F76&gt;0,AG$6=$F76),"◆",""))</f>
        <v/>
      </c>
      <c r="AH76" s="78" t="str">
        <f>IF(AND($D76&gt;0,AH$6&gt;=$D76,AH$6&lt;=$E76),1,IF(AND($F76&gt;0,AH$6=$F76),"◆",""))</f>
        <v/>
      </c>
      <c r="AI76" s="78" t="str">
        <f>IF(AND($D76&gt;0,AI$6&gt;=$D76,AI$6&lt;=$E76),1,IF(AND($F76&gt;0,AI$6=$F76),"◆",""))</f>
        <v/>
      </c>
      <c r="AJ76" s="78" t="str">
        <f>IF(AND($D76&gt;0,AJ$6&gt;=$D76,AJ$6&lt;=$E76),1,IF(AND($F76&gt;0,AJ$6=$F76),"◆",""))</f>
        <v/>
      </c>
      <c r="AK76" s="78" t="str">
        <f>IF(AND($D76&gt;0,AK$6&gt;=$D76,AK$6&lt;=$E76),1,IF(AND($F76&gt;0,AK$6=$F76),"◆",""))</f>
        <v/>
      </c>
      <c r="AL76" s="78" t="str">
        <f>IF(AND($D76&gt;0,AL$6&gt;=$D76,AL$6&lt;=$E76),1,IF(AND($F76&gt;0,AL$6=$F76),"◆",""))</f>
        <v/>
      </c>
      <c r="AM76" s="78" t="str">
        <f>IF(AND($D76&gt;0,AM$6&gt;=$D76,AM$6&lt;=$E76),1,IF(AND($F76&gt;0,AM$6=$F76),"◆",""))</f>
        <v/>
      </c>
      <c r="AN76" s="78" t="str">
        <f>IF(AND($D76&gt;0,AN$6&gt;=$D76,AN$6&lt;=$E76),1,IF(AND($F76&gt;0,AN$6=$F76),"◆",""))</f>
        <v/>
      </c>
      <c r="AO76" s="78" t="str">
        <f>IF(AND($D76&gt;0,AO$6&gt;=$D76,AO$6&lt;=$E76),1,IF(AND($F76&gt;0,AO$6=$F76),"◆",""))</f>
        <v/>
      </c>
      <c r="AP76" s="78" t="str">
        <f>IF(AND($D76&gt;0,AP$6&gt;=$D76,AP$6&lt;=$E76),1,IF(AND($F76&gt;0,AP$6=$F76),"◆",""))</f>
        <v/>
      </c>
      <c r="AQ76" s="78" t="str">
        <f>IF(AND($D76&gt;0,AQ$6&gt;=$D76,AQ$6&lt;=$E76),1,IF(AND($F76&gt;0,AQ$6=$F76),"◆",""))</f>
        <v/>
      </c>
      <c r="AR76" s="78" t="str">
        <f>IF(AND($D76&gt;0,AR$6&gt;=$D76,AR$6&lt;=$E76),1,IF(AND($F76&gt;0,AR$6=$F76),"◆",""))</f>
        <v/>
      </c>
      <c r="AS76" s="78" t="str">
        <f>IF(AND($D76&gt;0,AS$6&gt;=$D76,AS$6&lt;=$E76),1,IF(AND($F76&gt;0,AS$6=$F76),"◆",""))</f>
        <v/>
      </c>
      <c r="AT76" s="78" t="str">
        <f>IF(AND($D76&gt;0,AT$6&gt;=$D76,AT$6&lt;=$E76),1,IF(AND($F76&gt;0,AT$6=$F76),"◆",""))</f>
        <v/>
      </c>
      <c r="AU76" s="78" t="str">
        <f>IF(AND($D76&gt;0,AU$6&gt;=$D76,AU$6&lt;=$E76),1,IF(AND($F76&gt;0,AU$6=$F76),"◆",""))</f>
        <v/>
      </c>
      <c r="AV76" s="78" t="str">
        <f>IF(AND($D76&gt;0,AV$6&gt;=$D76,AV$6&lt;=$E76),1,IF(AND($F76&gt;0,AV$6=$F76),"◆",""))</f>
        <v/>
      </c>
      <c r="AW76" s="78" t="str">
        <f>IF(AND($D76&gt;0,AW$6&gt;=$D76,AW$6&lt;=$E76),1,IF(AND($F76&gt;0,AW$6=$F76),"◆",""))</f>
        <v/>
      </c>
      <c r="AX76" s="78" t="str">
        <f>IF(AND($D76&gt;0,AX$6&gt;=$D76,AX$6&lt;=$E76),1,IF(AND($F76&gt;0,AX$6=$F76),"◆",""))</f>
        <v/>
      </c>
      <c r="AY76" s="78" t="str">
        <f>IF(AND($D76&gt;0,AY$6&gt;=$D76,AY$6&lt;=$E76),1,IF(AND($F76&gt;0,AY$6=$F76),"◆",""))</f>
        <v/>
      </c>
      <c r="AZ76" s="78" t="str">
        <f>IF(AND($D76&gt;0,AZ$6&gt;=$D76,AZ$6&lt;=$E76),1,IF(AND($F76&gt;0,AZ$6=$F76),"◆",""))</f>
        <v/>
      </c>
      <c r="BA76" s="78" t="str">
        <f>IF(AND($D76&gt;0,BA$6&gt;=$D76,BA$6&lt;=$E76),1,IF(AND($F76&gt;0,BA$6=$F76),"◆",""))</f>
        <v/>
      </c>
      <c r="BB76" s="78" t="str">
        <f>IF(AND($D76&gt;0,BB$6&gt;=$D76,BB$6&lt;=$E76),1,IF(AND($F76&gt;0,BB$6=$F76),"◆",""))</f>
        <v/>
      </c>
      <c r="BC76" s="78" t="str">
        <f>IF(AND($D76&gt;0,BC$6&gt;=$D76,BC$6&lt;=$E76),1,IF(AND($F76&gt;0,BC$6=$F76),"◆",""))</f>
        <v/>
      </c>
      <c r="BD76" s="78" t="str">
        <f>IF(AND($D76&gt;0,BD$6&gt;=$D76,BD$6&lt;=$E76),1,IF(AND($F76&gt;0,BD$6=$F76),"◆",""))</f>
        <v/>
      </c>
      <c r="BE76" s="78" t="str">
        <f>IF(AND($D76&gt;0,BE$6&gt;=$D76,BE$6&lt;=$E76),1,IF(AND($F76&gt;0,BE$6=$F76),"◆",""))</f>
        <v/>
      </c>
      <c r="BF76" s="78" t="str">
        <f>IF(AND($D76&gt;0,BF$6&gt;=$D76,BF$6&lt;=$E76),1,IF(AND($F76&gt;0,BF$6=$F76),"◆",""))</f>
        <v/>
      </c>
      <c r="BG76" s="78" t="str">
        <f>IF(AND($D76&gt;0,BG$6&gt;=$D76,BG$6&lt;=$E76),1,IF(AND($F76&gt;0,BG$6=$F76),"◆",""))</f>
        <v/>
      </c>
      <c r="BH76" s="78" t="str">
        <f>IF(AND($D76&gt;0,BH$6&gt;=$D76,BH$6&lt;=$E76),1,IF(AND($F76&gt;0,BH$6=$F76),"◆",""))</f>
        <v/>
      </c>
      <c r="BI76" s="78" t="str">
        <f>IF(AND($D76&gt;0,BI$6&gt;=$D76,BI$6&lt;=$E76),1,IF(AND($F76&gt;0,BI$6=$F76),"◆",""))</f>
        <v/>
      </c>
      <c r="BJ76" s="78" t="str">
        <f>IF(AND($D76&gt;0,BJ$6&gt;=$D76,BJ$6&lt;=$E76),1,IF(AND($F76&gt;0,BJ$6=$F76),"◆",""))</f>
        <v/>
      </c>
      <c r="BK76" s="78" t="str">
        <f>IF(AND($D76&gt;0,BK$6&gt;=$D76,BK$6&lt;=$E76),1,IF(AND($F76&gt;0,BK$6=$F76),"◆",""))</f>
        <v/>
      </c>
      <c r="BL76" s="78" t="str">
        <f>IF(AND($D76&gt;0,BL$6&gt;=$D76,BL$6&lt;=$E76),1,IF(AND($F76&gt;0,BL$6=$F76),"◆",""))</f>
        <v/>
      </c>
      <c r="BM76" s="78" t="str">
        <f>IF(AND($D76&gt;0,BM$6&gt;=$D76,BM$6&lt;=$E76),1,IF(AND($F76&gt;0,BM$6=$F76),"◆",""))</f>
        <v/>
      </c>
      <c r="BN76" s="78" t="str">
        <f>IF(AND($D76&gt;0,BN$6&gt;=$D76,BN$6&lt;=$E76),1,IF(AND($F76&gt;0,BN$6=$F76),"◆",""))</f>
        <v/>
      </c>
      <c r="BO76" s="78" t="str">
        <f>IF(AND($D76&gt;0,BO$6&gt;=$D76,BO$6&lt;=$E76),1,IF(AND($F76&gt;0,BO$6=$F76),"◆",""))</f>
        <v/>
      </c>
      <c r="BP76" s="78" t="str">
        <f>IF(AND($D76&gt;0,BP$6&gt;=$D76,BP$6&lt;=$E76),1,IF(AND($F76&gt;0,BP$6=$F76),"◆",""))</f>
        <v/>
      </c>
    </row>
    <row r="77">
      <c r="A77" s="75" t="str">
        <f>IF(INDEX(of_ref,71)="","",INDEX(of_num,71)&amp;"")</f>
        <v/>
      </c>
      <c r="B77" s="75" t="str">
        <f>IF(INDEX(of_ref,71)="","",INDEX(of_des,71)&amp;"")</f>
        <v/>
      </c>
      <c r="C77" s="76" t="str">
        <f>IF(INDEX(of_ref,71)="","",INDEX(of_poste,71)&amp;"")</f>
        <v/>
      </c>
      <c r="D77" s="77">
        <f>INDEX(of_start,71)</f>
        <v>0.0</v>
      </c>
      <c r="E77" s="77">
        <f>INDEX(of_end,71)</f>
        <v>0.0</v>
      </c>
      <c r="F77" s="77">
        <f>IF(N(INDEX(of_need,71))=0,0,INDEX(of_need,71))</f>
        <v>0.0</v>
      </c>
      <c r="G77" s="76" t="str">
        <f>IF(INDEX(of_ref,71)="","",INDEX(of_etat,71)&amp;"")</f>
        <v/>
      </c>
      <c r="I77" s="78" t="str">
        <f>IF(AND($D77&gt;0,I$6&gt;=$D77,I$6&lt;=$E77),1,IF(AND($F77&gt;0,I$6=$F77),"◆",""))</f>
        <v/>
      </c>
      <c r="J77" s="78" t="str">
        <f>IF(AND($D77&gt;0,J$6&gt;=$D77,J$6&lt;=$E77),1,IF(AND($F77&gt;0,J$6=$F77),"◆",""))</f>
        <v/>
      </c>
      <c r="K77" s="78" t="str">
        <f>IF(AND($D77&gt;0,K$6&gt;=$D77,K$6&lt;=$E77),1,IF(AND($F77&gt;0,K$6=$F77),"◆",""))</f>
        <v/>
      </c>
      <c r="L77" s="78" t="str">
        <f>IF(AND($D77&gt;0,L$6&gt;=$D77,L$6&lt;=$E77),1,IF(AND($F77&gt;0,L$6=$F77),"◆",""))</f>
        <v/>
      </c>
      <c r="M77" s="78" t="str">
        <f>IF(AND($D77&gt;0,M$6&gt;=$D77,M$6&lt;=$E77),1,IF(AND($F77&gt;0,M$6=$F77),"◆",""))</f>
        <v/>
      </c>
      <c r="N77" s="78" t="str">
        <f>IF(AND($D77&gt;0,N$6&gt;=$D77,N$6&lt;=$E77),1,IF(AND($F77&gt;0,N$6=$F77),"◆",""))</f>
        <v/>
      </c>
      <c r="O77" s="78" t="str">
        <f>IF(AND($D77&gt;0,O$6&gt;=$D77,O$6&lt;=$E77),1,IF(AND($F77&gt;0,O$6=$F77),"◆",""))</f>
        <v/>
      </c>
      <c r="P77" s="78" t="str">
        <f>IF(AND($D77&gt;0,P$6&gt;=$D77,P$6&lt;=$E77),1,IF(AND($F77&gt;0,P$6=$F77),"◆",""))</f>
        <v/>
      </c>
      <c r="Q77" s="78" t="str">
        <f>IF(AND($D77&gt;0,Q$6&gt;=$D77,Q$6&lt;=$E77),1,IF(AND($F77&gt;0,Q$6=$F77),"◆",""))</f>
        <v/>
      </c>
      <c r="R77" s="78" t="str">
        <f>IF(AND($D77&gt;0,R$6&gt;=$D77,R$6&lt;=$E77),1,IF(AND($F77&gt;0,R$6=$F77),"◆",""))</f>
        <v/>
      </c>
      <c r="S77" s="78" t="str">
        <f>IF(AND($D77&gt;0,S$6&gt;=$D77,S$6&lt;=$E77),1,IF(AND($F77&gt;0,S$6=$F77),"◆",""))</f>
        <v/>
      </c>
      <c r="T77" s="78" t="str">
        <f>IF(AND($D77&gt;0,T$6&gt;=$D77,T$6&lt;=$E77),1,IF(AND($F77&gt;0,T$6=$F77),"◆",""))</f>
        <v/>
      </c>
      <c r="U77" s="78" t="str">
        <f>IF(AND($D77&gt;0,U$6&gt;=$D77,U$6&lt;=$E77),1,IF(AND($F77&gt;0,U$6=$F77),"◆",""))</f>
        <v/>
      </c>
      <c r="V77" s="78" t="str">
        <f>IF(AND($D77&gt;0,V$6&gt;=$D77,V$6&lt;=$E77),1,IF(AND($F77&gt;0,V$6=$F77),"◆",""))</f>
        <v/>
      </c>
      <c r="W77" s="78" t="str">
        <f>IF(AND($D77&gt;0,W$6&gt;=$D77,W$6&lt;=$E77),1,IF(AND($F77&gt;0,W$6=$F77),"◆",""))</f>
        <v/>
      </c>
      <c r="X77" s="78" t="str">
        <f>IF(AND($D77&gt;0,X$6&gt;=$D77,X$6&lt;=$E77),1,IF(AND($F77&gt;0,X$6=$F77),"◆",""))</f>
        <v/>
      </c>
      <c r="Y77" s="78" t="str">
        <f>IF(AND($D77&gt;0,Y$6&gt;=$D77,Y$6&lt;=$E77),1,IF(AND($F77&gt;0,Y$6=$F77),"◆",""))</f>
        <v/>
      </c>
      <c r="Z77" s="78" t="str">
        <f>IF(AND($D77&gt;0,Z$6&gt;=$D77,Z$6&lt;=$E77),1,IF(AND($F77&gt;0,Z$6=$F77),"◆",""))</f>
        <v/>
      </c>
      <c r="AA77" s="78" t="str">
        <f>IF(AND($D77&gt;0,AA$6&gt;=$D77,AA$6&lt;=$E77),1,IF(AND($F77&gt;0,AA$6=$F77),"◆",""))</f>
        <v/>
      </c>
      <c r="AB77" s="78" t="str">
        <f>IF(AND($D77&gt;0,AB$6&gt;=$D77,AB$6&lt;=$E77),1,IF(AND($F77&gt;0,AB$6=$F77),"◆",""))</f>
        <v/>
      </c>
      <c r="AC77" s="78" t="str">
        <f>IF(AND($D77&gt;0,AC$6&gt;=$D77,AC$6&lt;=$E77),1,IF(AND($F77&gt;0,AC$6=$F77),"◆",""))</f>
        <v/>
      </c>
      <c r="AD77" s="78" t="str">
        <f>IF(AND($D77&gt;0,AD$6&gt;=$D77,AD$6&lt;=$E77),1,IF(AND($F77&gt;0,AD$6=$F77),"◆",""))</f>
        <v/>
      </c>
      <c r="AE77" s="78" t="str">
        <f>IF(AND($D77&gt;0,AE$6&gt;=$D77,AE$6&lt;=$E77),1,IF(AND($F77&gt;0,AE$6=$F77),"◆",""))</f>
        <v/>
      </c>
      <c r="AF77" s="78" t="str">
        <f>IF(AND($D77&gt;0,AF$6&gt;=$D77,AF$6&lt;=$E77),1,IF(AND($F77&gt;0,AF$6=$F77),"◆",""))</f>
        <v/>
      </c>
      <c r="AG77" s="78" t="str">
        <f>IF(AND($D77&gt;0,AG$6&gt;=$D77,AG$6&lt;=$E77),1,IF(AND($F77&gt;0,AG$6=$F77),"◆",""))</f>
        <v/>
      </c>
      <c r="AH77" s="78" t="str">
        <f>IF(AND($D77&gt;0,AH$6&gt;=$D77,AH$6&lt;=$E77),1,IF(AND($F77&gt;0,AH$6=$F77),"◆",""))</f>
        <v/>
      </c>
      <c r="AI77" s="78" t="str">
        <f>IF(AND($D77&gt;0,AI$6&gt;=$D77,AI$6&lt;=$E77),1,IF(AND($F77&gt;0,AI$6=$F77),"◆",""))</f>
        <v/>
      </c>
      <c r="AJ77" s="78" t="str">
        <f>IF(AND($D77&gt;0,AJ$6&gt;=$D77,AJ$6&lt;=$E77),1,IF(AND($F77&gt;0,AJ$6=$F77),"◆",""))</f>
        <v/>
      </c>
      <c r="AK77" s="78" t="str">
        <f>IF(AND($D77&gt;0,AK$6&gt;=$D77,AK$6&lt;=$E77),1,IF(AND($F77&gt;0,AK$6=$F77),"◆",""))</f>
        <v/>
      </c>
      <c r="AL77" s="78" t="str">
        <f>IF(AND($D77&gt;0,AL$6&gt;=$D77,AL$6&lt;=$E77),1,IF(AND($F77&gt;0,AL$6=$F77),"◆",""))</f>
        <v/>
      </c>
      <c r="AM77" s="78" t="str">
        <f>IF(AND($D77&gt;0,AM$6&gt;=$D77,AM$6&lt;=$E77),1,IF(AND($F77&gt;0,AM$6=$F77),"◆",""))</f>
        <v/>
      </c>
      <c r="AN77" s="78" t="str">
        <f>IF(AND($D77&gt;0,AN$6&gt;=$D77,AN$6&lt;=$E77),1,IF(AND($F77&gt;0,AN$6=$F77),"◆",""))</f>
        <v/>
      </c>
      <c r="AO77" s="78" t="str">
        <f>IF(AND($D77&gt;0,AO$6&gt;=$D77,AO$6&lt;=$E77),1,IF(AND($F77&gt;0,AO$6=$F77),"◆",""))</f>
        <v/>
      </c>
      <c r="AP77" s="78" t="str">
        <f>IF(AND($D77&gt;0,AP$6&gt;=$D77,AP$6&lt;=$E77),1,IF(AND($F77&gt;0,AP$6=$F77),"◆",""))</f>
        <v/>
      </c>
      <c r="AQ77" s="78" t="str">
        <f>IF(AND($D77&gt;0,AQ$6&gt;=$D77,AQ$6&lt;=$E77),1,IF(AND($F77&gt;0,AQ$6=$F77),"◆",""))</f>
        <v/>
      </c>
      <c r="AR77" s="78" t="str">
        <f>IF(AND($D77&gt;0,AR$6&gt;=$D77,AR$6&lt;=$E77),1,IF(AND($F77&gt;0,AR$6=$F77),"◆",""))</f>
        <v/>
      </c>
      <c r="AS77" s="78" t="str">
        <f>IF(AND($D77&gt;0,AS$6&gt;=$D77,AS$6&lt;=$E77),1,IF(AND($F77&gt;0,AS$6=$F77),"◆",""))</f>
        <v/>
      </c>
      <c r="AT77" s="78" t="str">
        <f>IF(AND($D77&gt;0,AT$6&gt;=$D77,AT$6&lt;=$E77),1,IF(AND($F77&gt;0,AT$6=$F77),"◆",""))</f>
        <v/>
      </c>
      <c r="AU77" s="78" t="str">
        <f>IF(AND($D77&gt;0,AU$6&gt;=$D77,AU$6&lt;=$E77),1,IF(AND($F77&gt;0,AU$6=$F77),"◆",""))</f>
        <v/>
      </c>
      <c r="AV77" s="78" t="str">
        <f>IF(AND($D77&gt;0,AV$6&gt;=$D77,AV$6&lt;=$E77),1,IF(AND($F77&gt;0,AV$6=$F77),"◆",""))</f>
        <v/>
      </c>
      <c r="AW77" s="78" t="str">
        <f>IF(AND($D77&gt;0,AW$6&gt;=$D77,AW$6&lt;=$E77),1,IF(AND($F77&gt;0,AW$6=$F77),"◆",""))</f>
        <v/>
      </c>
      <c r="AX77" s="78" t="str">
        <f>IF(AND($D77&gt;0,AX$6&gt;=$D77,AX$6&lt;=$E77),1,IF(AND($F77&gt;0,AX$6=$F77),"◆",""))</f>
        <v/>
      </c>
      <c r="AY77" s="78" t="str">
        <f>IF(AND($D77&gt;0,AY$6&gt;=$D77,AY$6&lt;=$E77),1,IF(AND($F77&gt;0,AY$6=$F77),"◆",""))</f>
        <v/>
      </c>
      <c r="AZ77" s="78" t="str">
        <f>IF(AND($D77&gt;0,AZ$6&gt;=$D77,AZ$6&lt;=$E77),1,IF(AND($F77&gt;0,AZ$6=$F77),"◆",""))</f>
        <v/>
      </c>
      <c r="BA77" s="78" t="str">
        <f>IF(AND($D77&gt;0,BA$6&gt;=$D77,BA$6&lt;=$E77),1,IF(AND($F77&gt;0,BA$6=$F77),"◆",""))</f>
        <v/>
      </c>
      <c r="BB77" s="78" t="str">
        <f>IF(AND($D77&gt;0,BB$6&gt;=$D77,BB$6&lt;=$E77),1,IF(AND($F77&gt;0,BB$6=$F77),"◆",""))</f>
        <v/>
      </c>
      <c r="BC77" s="78" t="str">
        <f>IF(AND($D77&gt;0,BC$6&gt;=$D77,BC$6&lt;=$E77),1,IF(AND($F77&gt;0,BC$6=$F77),"◆",""))</f>
        <v/>
      </c>
      <c r="BD77" s="78" t="str">
        <f>IF(AND($D77&gt;0,BD$6&gt;=$D77,BD$6&lt;=$E77),1,IF(AND($F77&gt;0,BD$6=$F77),"◆",""))</f>
        <v/>
      </c>
      <c r="BE77" s="78" t="str">
        <f>IF(AND($D77&gt;0,BE$6&gt;=$D77,BE$6&lt;=$E77),1,IF(AND($F77&gt;0,BE$6=$F77),"◆",""))</f>
        <v/>
      </c>
      <c r="BF77" s="78" t="str">
        <f>IF(AND($D77&gt;0,BF$6&gt;=$D77,BF$6&lt;=$E77),1,IF(AND($F77&gt;0,BF$6=$F77),"◆",""))</f>
        <v/>
      </c>
      <c r="BG77" s="78" t="str">
        <f>IF(AND($D77&gt;0,BG$6&gt;=$D77,BG$6&lt;=$E77),1,IF(AND($F77&gt;0,BG$6=$F77),"◆",""))</f>
        <v/>
      </c>
      <c r="BH77" s="78" t="str">
        <f>IF(AND($D77&gt;0,BH$6&gt;=$D77,BH$6&lt;=$E77),1,IF(AND($F77&gt;0,BH$6=$F77),"◆",""))</f>
        <v/>
      </c>
      <c r="BI77" s="78" t="str">
        <f>IF(AND($D77&gt;0,BI$6&gt;=$D77,BI$6&lt;=$E77),1,IF(AND($F77&gt;0,BI$6=$F77),"◆",""))</f>
        <v/>
      </c>
      <c r="BJ77" s="78" t="str">
        <f>IF(AND($D77&gt;0,BJ$6&gt;=$D77,BJ$6&lt;=$E77),1,IF(AND($F77&gt;0,BJ$6=$F77),"◆",""))</f>
        <v/>
      </c>
      <c r="BK77" s="78" t="str">
        <f>IF(AND($D77&gt;0,BK$6&gt;=$D77,BK$6&lt;=$E77),1,IF(AND($F77&gt;0,BK$6=$F77),"◆",""))</f>
        <v/>
      </c>
      <c r="BL77" s="78" t="str">
        <f>IF(AND($D77&gt;0,BL$6&gt;=$D77,BL$6&lt;=$E77),1,IF(AND($F77&gt;0,BL$6=$F77),"◆",""))</f>
        <v/>
      </c>
      <c r="BM77" s="78" t="str">
        <f>IF(AND($D77&gt;0,BM$6&gt;=$D77,BM$6&lt;=$E77),1,IF(AND($F77&gt;0,BM$6=$F77),"◆",""))</f>
        <v/>
      </c>
      <c r="BN77" s="78" t="str">
        <f>IF(AND($D77&gt;0,BN$6&gt;=$D77,BN$6&lt;=$E77),1,IF(AND($F77&gt;0,BN$6=$F77),"◆",""))</f>
        <v/>
      </c>
      <c r="BO77" s="78" t="str">
        <f>IF(AND($D77&gt;0,BO$6&gt;=$D77,BO$6&lt;=$E77),1,IF(AND($F77&gt;0,BO$6=$F77),"◆",""))</f>
        <v/>
      </c>
      <c r="BP77" s="78" t="str">
        <f>IF(AND($D77&gt;0,BP$6&gt;=$D77,BP$6&lt;=$E77),1,IF(AND($F77&gt;0,BP$6=$F77),"◆",""))</f>
        <v/>
      </c>
    </row>
    <row r="78">
      <c r="A78" s="75" t="str">
        <f>IF(INDEX(of_ref,72)="","",INDEX(of_num,72)&amp;"")</f>
        <v/>
      </c>
      <c r="B78" s="75" t="str">
        <f>IF(INDEX(of_ref,72)="","",INDEX(of_des,72)&amp;"")</f>
        <v/>
      </c>
      <c r="C78" s="76" t="str">
        <f>IF(INDEX(of_ref,72)="","",INDEX(of_poste,72)&amp;"")</f>
        <v/>
      </c>
      <c r="D78" s="77">
        <f>INDEX(of_start,72)</f>
        <v>0.0</v>
      </c>
      <c r="E78" s="77">
        <f>INDEX(of_end,72)</f>
        <v>0.0</v>
      </c>
      <c r="F78" s="77">
        <f>IF(N(INDEX(of_need,72))=0,0,INDEX(of_need,72))</f>
        <v>0.0</v>
      </c>
      <c r="G78" s="76" t="str">
        <f>IF(INDEX(of_ref,72)="","",INDEX(of_etat,72)&amp;"")</f>
        <v/>
      </c>
      <c r="I78" s="78" t="str">
        <f>IF(AND($D78&gt;0,I$6&gt;=$D78,I$6&lt;=$E78),1,IF(AND($F78&gt;0,I$6=$F78),"◆",""))</f>
        <v/>
      </c>
      <c r="J78" s="78" t="str">
        <f>IF(AND($D78&gt;0,J$6&gt;=$D78,J$6&lt;=$E78),1,IF(AND($F78&gt;0,J$6=$F78),"◆",""))</f>
        <v/>
      </c>
      <c r="K78" s="78" t="str">
        <f>IF(AND($D78&gt;0,K$6&gt;=$D78,K$6&lt;=$E78),1,IF(AND($F78&gt;0,K$6=$F78),"◆",""))</f>
        <v/>
      </c>
      <c r="L78" s="78" t="str">
        <f>IF(AND($D78&gt;0,L$6&gt;=$D78,L$6&lt;=$E78),1,IF(AND($F78&gt;0,L$6=$F78),"◆",""))</f>
        <v/>
      </c>
      <c r="M78" s="78" t="str">
        <f>IF(AND($D78&gt;0,M$6&gt;=$D78,M$6&lt;=$E78),1,IF(AND($F78&gt;0,M$6=$F78),"◆",""))</f>
        <v/>
      </c>
      <c r="N78" s="78" t="str">
        <f>IF(AND($D78&gt;0,N$6&gt;=$D78,N$6&lt;=$E78),1,IF(AND($F78&gt;0,N$6=$F78),"◆",""))</f>
        <v/>
      </c>
      <c r="O78" s="78" t="str">
        <f>IF(AND($D78&gt;0,O$6&gt;=$D78,O$6&lt;=$E78),1,IF(AND($F78&gt;0,O$6=$F78),"◆",""))</f>
        <v/>
      </c>
      <c r="P78" s="78" t="str">
        <f>IF(AND($D78&gt;0,P$6&gt;=$D78,P$6&lt;=$E78),1,IF(AND($F78&gt;0,P$6=$F78),"◆",""))</f>
        <v/>
      </c>
      <c r="Q78" s="78" t="str">
        <f>IF(AND($D78&gt;0,Q$6&gt;=$D78,Q$6&lt;=$E78),1,IF(AND($F78&gt;0,Q$6=$F78),"◆",""))</f>
        <v/>
      </c>
      <c r="R78" s="78" t="str">
        <f>IF(AND($D78&gt;0,R$6&gt;=$D78,R$6&lt;=$E78),1,IF(AND($F78&gt;0,R$6=$F78),"◆",""))</f>
        <v/>
      </c>
      <c r="S78" s="78" t="str">
        <f>IF(AND($D78&gt;0,S$6&gt;=$D78,S$6&lt;=$E78),1,IF(AND($F78&gt;0,S$6=$F78),"◆",""))</f>
        <v/>
      </c>
      <c r="T78" s="78" t="str">
        <f>IF(AND($D78&gt;0,T$6&gt;=$D78,T$6&lt;=$E78),1,IF(AND($F78&gt;0,T$6=$F78),"◆",""))</f>
        <v/>
      </c>
      <c r="U78" s="78" t="str">
        <f>IF(AND($D78&gt;0,U$6&gt;=$D78,U$6&lt;=$E78),1,IF(AND($F78&gt;0,U$6=$F78),"◆",""))</f>
        <v/>
      </c>
      <c r="V78" s="78" t="str">
        <f>IF(AND($D78&gt;0,V$6&gt;=$D78,V$6&lt;=$E78),1,IF(AND($F78&gt;0,V$6=$F78),"◆",""))</f>
        <v/>
      </c>
      <c r="W78" s="78" t="str">
        <f>IF(AND($D78&gt;0,W$6&gt;=$D78,W$6&lt;=$E78),1,IF(AND($F78&gt;0,W$6=$F78),"◆",""))</f>
        <v/>
      </c>
      <c r="X78" s="78" t="str">
        <f>IF(AND($D78&gt;0,X$6&gt;=$D78,X$6&lt;=$E78),1,IF(AND($F78&gt;0,X$6=$F78),"◆",""))</f>
        <v/>
      </c>
      <c r="Y78" s="78" t="str">
        <f>IF(AND($D78&gt;0,Y$6&gt;=$D78,Y$6&lt;=$E78),1,IF(AND($F78&gt;0,Y$6=$F78),"◆",""))</f>
        <v/>
      </c>
      <c r="Z78" s="78" t="str">
        <f>IF(AND($D78&gt;0,Z$6&gt;=$D78,Z$6&lt;=$E78),1,IF(AND($F78&gt;0,Z$6=$F78),"◆",""))</f>
        <v/>
      </c>
      <c r="AA78" s="78" t="str">
        <f>IF(AND($D78&gt;0,AA$6&gt;=$D78,AA$6&lt;=$E78),1,IF(AND($F78&gt;0,AA$6=$F78),"◆",""))</f>
        <v/>
      </c>
      <c r="AB78" s="78" t="str">
        <f>IF(AND($D78&gt;0,AB$6&gt;=$D78,AB$6&lt;=$E78),1,IF(AND($F78&gt;0,AB$6=$F78),"◆",""))</f>
        <v/>
      </c>
      <c r="AC78" s="78" t="str">
        <f>IF(AND($D78&gt;0,AC$6&gt;=$D78,AC$6&lt;=$E78),1,IF(AND($F78&gt;0,AC$6=$F78),"◆",""))</f>
        <v/>
      </c>
      <c r="AD78" s="78" t="str">
        <f>IF(AND($D78&gt;0,AD$6&gt;=$D78,AD$6&lt;=$E78),1,IF(AND($F78&gt;0,AD$6=$F78),"◆",""))</f>
        <v/>
      </c>
      <c r="AE78" s="78" t="str">
        <f>IF(AND($D78&gt;0,AE$6&gt;=$D78,AE$6&lt;=$E78),1,IF(AND($F78&gt;0,AE$6=$F78),"◆",""))</f>
        <v/>
      </c>
      <c r="AF78" s="78" t="str">
        <f>IF(AND($D78&gt;0,AF$6&gt;=$D78,AF$6&lt;=$E78),1,IF(AND($F78&gt;0,AF$6=$F78),"◆",""))</f>
        <v/>
      </c>
      <c r="AG78" s="78" t="str">
        <f>IF(AND($D78&gt;0,AG$6&gt;=$D78,AG$6&lt;=$E78),1,IF(AND($F78&gt;0,AG$6=$F78),"◆",""))</f>
        <v/>
      </c>
      <c r="AH78" s="78" t="str">
        <f>IF(AND($D78&gt;0,AH$6&gt;=$D78,AH$6&lt;=$E78),1,IF(AND($F78&gt;0,AH$6=$F78),"◆",""))</f>
        <v/>
      </c>
      <c r="AI78" s="78" t="str">
        <f>IF(AND($D78&gt;0,AI$6&gt;=$D78,AI$6&lt;=$E78),1,IF(AND($F78&gt;0,AI$6=$F78),"◆",""))</f>
        <v/>
      </c>
      <c r="AJ78" s="78" t="str">
        <f>IF(AND($D78&gt;0,AJ$6&gt;=$D78,AJ$6&lt;=$E78),1,IF(AND($F78&gt;0,AJ$6=$F78),"◆",""))</f>
        <v/>
      </c>
      <c r="AK78" s="78" t="str">
        <f>IF(AND($D78&gt;0,AK$6&gt;=$D78,AK$6&lt;=$E78),1,IF(AND($F78&gt;0,AK$6=$F78),"◆",""))</f>
        <v/>
      </c>
      <c r="AL78" s="78" t="str">
        <f>IF(AND($D78&gt;0,AL$6&gt;=$D78,AL$6&lt;=$E78),1,IF(AND($F78&gt;0,AL$6=$F78),"◆",""))</f>
        <v/>
      </c>
      <c r="AM78" s="78" t="str">
        <f>IF(AND($D78&gt;0,AM$6&gt;=$D78,AM$6&lt;=$E78),1,IF(AND($F78&gt;0,AM$6=$F78),"◆",""))</f>
        <v/>
      </c>
      <c r="AN78" s="78" t="str">
        <f>IF(AND($D78&gt;0,AN$6&gt;=$D78,AN$6&lt;=$E78),1,IF(AND($F78&gt;0,AN$6=$F78),"◆",""))</f>
        <v/>
      </c>
      <c r="AO78" s="78" t="str">
        <f>IF(AND($D78&gt;0,AO$6&gt;=$D78,AO$6&lt;=$E78),1,IF(AND($F78&gt;0,AO$6=$F78),"◆",""))</f>
        <v/>
      </c>
      <c r="AP78" s="78" t="str">
        <f>IF(AND($D78&gt;0,AP$6&gt;=$D78,AP$6&lt;=$E78),1,IF(AND($F78&gt;0,AP$6=$F78),"◆",""))</f>
        <v/>
      </c>
      <c r="AQ78" s="78" t="str">
        <f>IF(AND($D78&gt;0,AQ$6&gt;=$D78,AQ$6&lt;=$E78),1,IF(AND($F78&gt;0,AQ$6=$F78),"◆",""))</f>
        <v/>
      </c>
      <c r="AR78" s="78" t="str">
        <f>IF(AND($D78&gt;0,AR$6&gt;=$D78,AR$6&lt;=$E78),1,IF(AND($F78&gt;0,AR$6=$F78),"◆",""))</f>
        <v/>
      </c>
      <c r="AS78" s="78" t="str">
        <f>IF(AND($D78&gt;0,AS$6&gt;=$D78,AS$6&lt;=$E78),1,IF(AND($F78&gt;0,AS$6=$F78),"◆",""))</f>
        <v/>
      </c>
      <c r="AT78" s="78" t="str">
        <f>IF(AND($D78&gt;0,AT$6&gt;=$D78,AT$6&lt;=$E78),1,IF(AND($F78&gt;0,AT$6=$F78),"◆",""))</f>
        <v/>
      </c>
      <c r="AU78" s="78" t="str">
        <f>IF(AND($D78&gt;0,AU$6&gt;=$D78,AU$6&lt;=$E78),1,IF(AND($F78&gt;0,AU$6=$F78),"◆",""))</f>
        <v/>
      </c>
      <c r="AV78" s="78" t="str">
        <f>IF(AND($D78&gt;0,AV$6&gt;=$D78,AV$6&lt;=$E78),1,IF(AND($F78&gt;0,AV$6=$F78),"◆",""))</f>
        <v/>
      </c>
      <c r="AW78" s="78" t="str">
        <f>IF(AND($D78&gt;0,AW$6&gt;=$D78,AW$6&lt;=$E78),1,IF(AND($F78&gt;0,AW$6=$F78),"◆",""))</f>
        <v/>
      </c>
      <c r="AX78" s="78" t="str">
        <f>IF(AND($D78&gt;0,AX$6&gt;=$D78,AX$6&lt;=$E78),1,IF(AND($F78&gt;0,AX$6=$F78),"◆",""))</f>
        <v/>
      </c>
      <c r="AY78" s="78" t="str">
        <f>IF(AND($D78&gt;0,AY$6&gt;=$D78,AY$6&lt;=$E78),1,IF(AND($F78&gt;0,AY$6=$F78),"◆",""))</f>
        <v/>
      </c>
      <c r="AZ78" s="78" t="str">
        <f>IF(AND($D78&gt;0,AZ$6&gt;=$D78,AZ$6&lt;=$E78),1,IF(AND($F78&gt;0,AZ$6=$F78),"◆",""))</f>
        <v/>
      </c>
      <c r="BA78" s="78" t="str">
        <f>IF(AND($D78&gt;0,BA$6&gt;=$D78,BA$6&lt;=$E78),1,IF(AND($F78&gt;0,BA$6=$F78),"◆",""))</f>
        <v/>
      </c>
      <c r="BB78" s="78" t="str">
        <f>IF(AND($D78&gt;0,BB$6&gt;=$D78,BB$6&lt;=$E78),1,IF(AND($F78&gt;0,BB$6=$F78),"◆",""))</f>
        <v/>
      </c>
      <c r="BC78" s="78" t="str">
        <f>IF(AND($D78&gt;0,BC$6&gt;=$D78,BC$6&lt;=$E78),1,IF(AND($F78&gt;0,BC$6=$F78),"◆",""))</f>
        <v/>
      </c>
      <c r="BD78" s="78" t="str">
        <f>IF(AND($D78&gt;0,BD$6&gt;=$D78,BD$6&lt;=$E78),1,IF(AND($F78&gt;0,BD$6=$F78),"◆",""))</f>
        <v/>
      </c>
      <c r="BE78" s="78" t="str">
        <f>IF(AND($D78&gt;0,BE$6&gt;=$D78,BE$6&lt;=$E78),1,IF(AND($F78&gt;0,BE$6=$F78),"◆",""))</f>
        <v/>
      </c>
      <c r="BF78" s="78" t="str">
        <f>IF(AND($D78&gt;0,BF$6&gt;=$D78,BF$6&lt;=$E78),1,IF(AND($F78&gt;0,BF$6=$F78),"◆",""))</f>
        <v/>
      </c>
      <c r="BG78" s="78" t="str">
        <f>IF(AND($D78&gt;0,BG$6&gt;=$D78,BG$6&lt;=$E78),1,IF(AND($F78&gt;0,BG$6=$F78),"◆",""))</f>
        <v/>
      </c>
      <c r="BH78" s="78" t="str">
        <f>IF(AND($D78&gt;0,BH$6&gt;=$D78,BH$6&lt;=$E78),1,IF(AND($F78&gt;0,BH$6=$F78),"◆",""))</f>
        <v/>
      </c>
      <c r="BI78" s="78" t="str">
        <f>IF(AND($D78&gt;0,BI$6&gt;=$D78,BI$6&lt;=$E78),1,IF(AND($F78&gt;0,BI$6=$F78),"◆",""))</f>
        <v/>
      </c>
      <c r="BJ78" s="78" t="str">
        <f>IF(AND($D78&gt;0,BJ$6&gt;=$D78,BJ$6&lt;=$E78),1,IF(AND($F78&gt;0,BJ$6=$F78),"◆",""))</f>
        <v/>
      </c>
      <c r="BK78" s="78" t="str">
        <f>IF(AND($D78&gt;0,BK$6&gt;=$D78,BK$6&lt;=$E78),1,IF(AND($F78&gt;0,BK$6=$F78),"◆",""))</f>
        <v/>
      </c>
      <c r="BL78" s="78" t="str">
        <f>IF(AND($D78&gt;0,BL$6&gt;=$D78,BL$6&lt;=$E78),1,IF(AND($F78&gt;0,BL$6=$F78),"◆",""))</f>
        <v/>
      </c>
      <c r="BM78" s="78" t="str">
        <f>IF(AND($D78&gt;0,BM$6&gt;=$D78,BM$6&lt;=$E78),1,IF(AND($F78&gt;0,BM$6=$F78),"◆",""))</f>
        <v/>
      </c>
      <c r="BN78" s="78" t="str">
        <f>IF(AND($D78&gt;0,BN$6&gt;=$D78,BN$6&lt;=$E78),1,IF(AND($F78&gt;0,BN$6=$F78),"◆",""))</f>
        <v/>
      </c>
      <c r="BO78" s="78" t="str">
        <f>IF(AND($D78&gt;0,BO$6&gt;=$D78,BO$6&lt;=$E78),1,IF(AND($F78&gt;0,BO$6=$F78),"◆",""))</f>
        <v/>
      </c>
      <c r="BP78" s="78" t="str">
        <f>IF(AND($D78&gt;0,BP$6&gt;=$D78,BP$6&lt;=$E78),1,IF(AND($F78&gt;0,BP$6=$F78),"◆",""))</f>
        <v/>
      </c>
    </row>
    <row r="79">
      <c r="A79" s="75" t="str">
        <f>IF(INDEX(of_ref,73)="","",INDEX(of_num,73)&amp;"")</f>
        <v/>
      </c>
      <c r="B79" s="75" t="str">
        <f>IF(INDEX(of_ref,73)="","",INDEX(of_des,73)&amp;"")</f>
        <v/>
      </c>
      <c r="C79" s="76" t="str">
        <f>IF(INDEX(of_ref,73)="","",INDEX(of_poste,73)&amp;"")</f>
        <v/>
      </c>
      <c r="D79" s="77">
        <f>INDEX(of_start,73)</f>
        <v>0.0</v>
      </c>
      <c r="E79" s="77">
        <f>INDEX(of_end,73)</f>
        <v>0.0</v>
      </c>
      <c r="F79" s="77">
        <f>IF(N(INDEX(of_need,73))=0,0,INDEX(of_need,73))</f>
        <v>0.0</v>
      </c>
      <c r="G79" s="76" t="str">
        <f>IF(INDEX(of_ref,73)="","",INDEX(of_etat,73)&amp;"")</f>
        <v/>
      </c>
      <c r="I79" s="78" t="str">
        <f>IF(AND($D79&gt;0,I$6&gt;=$D79,I$6&lt;=$E79),1,IF(AND($F79&gt;0,I$6=$F79),"◆",""))</f>
        <v/>
      </c>
      <c r="J79" s="78" t="str">
        <f>IF(AND($D79&gt;0,J$6&gt;=$D79,J$6&lt;=$E79),1,IF(AND($F79&gt;0,J$6=$F79),"◆",""))</f>
        <v/>
      </c>
      <c r="K79" s="78" t="str">
        <f>IF(AND($D79&gt;0,K$6&gt;=$D79,K$6&lt;=$E79),1,IF(AND($F79&gt;0,K$6=$F79),"◆",""))</f>
        <v/>
      </c>
      <c r="L79" s="78" t="str">
        <f>IF(AND($D79&gt;0,L$6&gt;=$D79,L$6&lt;=$E79),1,IF(AND($F79&gt;0,L$6=$F79),"◆",""))</f>
        <v/>
      </c>
      <c r="M79" s="78" t="str">
        <f>IF(AND($D79&gt;0,M$6&gt;=$D79,M$6&lt;=$E79),1,IF(AND($F79&gt;0,M$6=$F79),"◆",""))</f>
        <v/>
      </c>
      <c r="N79" s="78" t="str">
        <f>IF(AND($D79&gt;0,N$6&gt;=$D79,N$6&lt;=$E79),1,IF(AND($F79&gt;0,N$6=$F79),"◆",""))</f>
        <v/>
      </c>
      <c r="O79" s="78" t="str">
        <f>IF(AND($D79&gt;0,O$6&gt;=$D79,O$6&lt;=$E79),1,IF(AND($F79&gt;0,O$6=$F79),"◆",""))</f>
        <v/>
      </c>
      <c r="P79" s="78" t="str">
        <f>IF(AND($D79&gt;0,P$6&gt;=$D79,P$6&lt;=$E79),1,IF(AND($F79&gt;0,P$6=$F79),"◆",""))</f>
        <v/>
      </c>
      <c r="Q79" s="78" t="str">
        <f>IF(AND($D79&gt;0,Q$6&gt;=$D79,Q$6&lt;=$E79),1,IF(AND($F79&gt;0,Q$6=$F79),"◆",""))</f>
        <v/>
      </c>
      <c r="R79" s="78" t="str">
        <f>IF(AND($D79&gt;0,R$6&gt;=$D79,R$6&lt;=$E79),1,IF(AND($F79&gt;0,R$6=$F79),"◆",""))</f>
        <v/>
      </c>
      <c r="S79" s="78" t="str">
        <f>IF(AND($D79&gt;0,S$6&gt;=$D79,S$6&lt;=$E79),1,IF(AND($F79&gt;0,S$6=$F79),"◆",""))</f>
        <v/>
      </c>
      <c r="T79" s="78" t="str">
        <f>IF(AND($D79&gt;0,T$6&gt;=$D79,T$6&lt;=$E79),1,IF(AND($F79&gt;0,T$6=$F79),"◆",""))</f>
        <v/>
      </c>
      <c r="U79" s="78" t="str">
        <f>IF(AND($D79&gt;0,U$6&gt;=$D79,U$6&lt;=$E79),1,IF(AND($F79&gt;0,U$6=$F79),"◆",""))</f>
        <v/>
      </c>
      <c r="V79" s="78" t="str">
        <f>IF(AND($D79&gt;0,V$6&gt;=$D79,V$6&lt;=$E79),1,IF(AND($F79&gt;0,V$6=$F79),"◆",""))</f>
        <v/>
      </c>
      <c r="W79" s="78" t="str">
        <f>IF(AND($D79&gt;0,W$6&gt;=$D79,W$6&lt;=$E79),1,IF(AND($F79&gt;0,W$6=$F79),"◆",""))</f>
        <v/>
      </c>
      <c r="X79" s="78" t="str">
        <f>IF(AND($D79&gt;0,X$6&gt;=$D79,X$6&lt;=$E79),1,IF(AND($F79&gt;0,X$6=$F79),"◆",""))</f>
        <v/>
      </c>
      <c r="Y79" s="78" t="str">
        <f>IF(AND($D79&gt;0,Y$6&gt;=$D79,Y$6&lt;=$E79),1,IF(AND($F79&gt;0,Y$6=$F79),"◆",""))</f>
        <v/>
      </c>
      <c r="Z79" s="78" t="str">
        <f>IF(AND($D79&gt;0,Z$6&gt;=$D79,Z$6&lt;=$E79),1,IF(AND($F79&gt;0,Z$6=$F79),"◆",""))</f>
        <v/>
      </c>
      <c r="AA79" s="78" t="str">
        <f>IF(AND($D79&gt;0,AA$6&gt;=$D79,AA$6&lt;=$E79),1,IF(AND($F79&gt;0,AA$6=$F79),"◆",""))</f>
        <v/>
      </c>
      <c r="AB79" s="78" t="str">
        <f>IF(AND($D79&gt;0,AB$6&gt;=$D79,AB$6&lt;=$E79),1,IF(AND($F79&gt;0,AB$6=$F79),"◆",""))</f>
        <v/>
      </c>
      <c r="AC79" s="78" t="str">
        <f>IF(AND($D79&gt;0,AC$6&gt;=$D79,AC$6&lt;=$E79),1,IF(AND($F79&gt;0,AC$6=$F79),"◆",""))</f>
        <v/>
      </c>
      <c r="AD79" s="78" t="str">
        <f>IF(AND($D79&gt;0,AD$6&gt;=$D79,AD$6&lt;=$E79),1,IF(AND($F79&gt;0,AD$6=$F79),"◆",""))</f>
        <v/>
      </c>
      <c r="AE79" s="78" t="str">
        <f>IF(AND($D79&gt;0,AE$6&gt;=$D79,AE$6&lt;=$E79),1,IF(AND($F79&gt;0,AE$6=$F79),"◆",""))</f>
        <v/>
      </c>
      <c r="AF79" s="78" t="str">
        <f>IF(AND($D79&gt;0,AF$6&gt;=$D79,AF$6&lt;=$E79),1,IF(AND($F79&gt;0,AF$6=$F79),"◆",""))</f>
        <v/>
      </c>
      <c r="AG79" s="78" t="str">
        <f>IF(AND($D79&gt;0,AG$6&gt;=$D79,AG$6&lt;=$E79),1,IF(AND($F79&gt;0,AG$6=$F79),"◆",""))</f>
        <v/>
      </c>
      <c r="AH79" s="78" t="str">
        <f>IF(AND($D79&gt;0,AH$6&gt;=$D79,AH$6&lt;=$E79),1,IF(AND($F79&gt;0,AH$6=$F79),"◆",""))</f>
        <v/>
      </c>
      <c r="AI79" s="78" t="str">
        <f>IF(AND($D79&gt;0,AI$6&gt;=$D79,AI$6&lt;=$E79),1,IF(AND($F79&gt;0,AI$6=$F79),"◆",""))</f>
        <v/>
      </c>
      <c r="AJ79" s="78" t="str">
        <f>IF(AND($D79&gt;0,AJ$6&gt;=$D79,AJ$6&lt;=$E79),1,IF(AND($F79&gt;0,AJ$6=$F79),"◆",""))</f>
        <v/>
      </c>
      <c r="AK79" s="78" t="str">
        <f>IF(AND($D79&gt;0,AK$6&gt;=$D79,AK$6&lt;=$E79),1,IF(AND($F79&gt;0,AK$6=$F79),"◆",""))</f>
        <v/>
      </c>
      <c r="AL79" s="78" t="str">
        <f>IF(AND($D79&gt;0,AL$6&gt;=$D79,AL$6&lt;=$E79),1,IF(AND($F79&gt;0,AL$6=$F79),"◆",""))</f>
        <v/>
      </c>
      <c r="AM79" s="78" t="str">
        <f>IF(AND($D79&gt;0,AM$6&gt;=$D79,AM$6&lt;=$E79),1,IF(AND($F79&gt;0,AM$6=$F79),"◆",""))</f>
        <v/>
      </c>
      <c r="AN79" s="78" t="str">
        <f>IF(AND($D79&gt;0,AN$6&gt;=$D79,AN$6&lt;=$E79),1,IF(AND($F79&gt;0,AN$6=$F79),"◆",""))</f>
        <v/>
      </c>
      <c r="AO79" s="78" t="str">
        <f>IF(AND($D79&gt;0,AO$6&gt;=$D79,AO$6&lt;=$E79),1,IF(AND($F79&gt;0,AO$6=$F79),"◆",""))</f>
        <v/>
      </c>
      <c r="AP79" s="78" t="str">
        <f>IF(AND($D79&gt;0,AP$6&gt;=$D79,AP$6&lt;=$E79),1,IF(AND($F79&gt;0,AP$6=$F79),"◆",""))</f>
        <v/>
      </c>
      <c r="AQ79" s="78" t="str">
        <f>IF(AND($D79&gt;0,AQ$6&gt;=$D79,AQ$6&lt;=$E79),1,IF(AND($F79&gt;0,AQ$6=$F79),"◆",""))</f>
        <v/>
      </c>
      <c r="AR79" s="78" t="str">
        <f>IF(AND($D79&gt;0,AR$6&gt;=$D79,AR$6&lt;=$E79),1,IF(AND($F79&gt;0,AR$6=$F79),"◆",""))</f>
        <v/>
      </c>
      <c r="AS79" s="78" t="str">
        <f>IF(AND($D79&gt;0,AS$6&gt;=$D79,AS$6&lt;=$E79),1,IF(AND($F79&gt;0,AS$6=$F79),"◆",""))</f>
        <v/>
      </c>
      <c r="AT79" s="78" t="str">
        <f>IF(AND($D79&gt;0,AT$6&gt;=$D79,AT$6&lt;=$E79),1,IF(AND($F79&gt;0,AT$6=$F79),"◆",""))</f>
        <v/>
      </c>
      <c r="AU79" s="78" t="str">
        <f>IF(AND($D79&gt;0,AU$6&gt;=$D79,AU$6&lt;=$E79),1,IF(AND($F79&gt;0,AU$6=$F79),"◆",""))</f>
        <v/>
      </c>
      <c r="AV79" s="78" t="str">
        <f>IF(AND($D79&gt;0,AV$6&gt;=$D79,AV$6&lt;=$E79),1,IF(AND($F79&gt;0,AV$6=$F79),"◆",""))</f>
        <v/>
      </c>
      <c r="AW79" s="78" t="str">
        <f>IF(AND($D79&gt;0,AW$6&gt;=$D79,AW$6&lt;=$E79),1,IF(AND($F79&gt;0,AW$6=$F79),"◆",""))</f>
        <v/>
      </c>
      <c r="AX79" s="78" t="str">
        <f>IF(AND($D79&gt;0,AX$6&gt;=$D79,AX$6&lt;=$E79),1,IF(AND($F79&gt;0,AX$6=$F79),"◆",""))</f>
        <v/>
      </c>
      <c r="AY79" s="78" t="str">
        <f>IF(AND($D79&gt;0,AY$6&gt;=$D79,AY$6&lt;=$E79),1,IF(AND($F79&gt;0,AY$6=$F79),"◆",""))</f>
        <v/>
      </c>
      <c r="AZ79" s="78" t="str">
        <f>IF(AND($D79&gt;0,AZ$6&gt;=$D79,AZ$6&lt;=$E79),1,IF(AND($F79&gt;0,AZ$6=$F79),"◆",""))</f>
        <v/>
      </c>
      <c r="BA79" s="78" t="str">
        <f>IF(AND($D79&gt;0,BA$6&gt;=$D79,BA$6&lt;=$E79),1,IF(AND($F79&gt;0,BA$6=$F79),"◆",""))</f>
        <v/>
      </c>
      <c r="BB79" s="78" t="str">
        <f>IF(AND($D79&gt;0,BB$6&gt;=$D79,BB$6&lt;=$E79),1,IF(AND($F79&gt;0,BB$6=$F79),"◆",""))</f>
        <v/>
      </c>
      <c r="BC79" s="78" t="str">
        <f>IF(AND($D79&gt;0,BC$6&gt;=$D79,BC$6&lt;=$E79),1,IF(AND($F79&gt;0,BC$6=$F79),"◆",""))</f>
        <v/>
      </c>
      <c r="BD79" s="78" t="str">
        <f>IF(AND($D79&gt;0,BD$6&gt;=$D79,BD$6&lt;=$E79),1,IF(AND($F79&gt;0,BD$6=$F79),"◆",""))</f>
        <v/>
      </c>
      <c r="BE79" s="78" t="str">
        <f>IF(AND($D79&gt;0,BE$6&gt;=$D79,BE$6&lt;=$E79),1,IF(AND($F79&gt;0,BE$6=$F79),"◆",""))</f>
        <v/>
      </c>
      <c r="BF79" s="78" t="str">
        <f>IF(AND($D79&gt;0,BF$6&gt;=$D79,BF$6&lt;=$E79),1,IF(AND($F79&gt;0,BF$6=$F79),"◆",""))</f>
        <v/>
      </c>
      <c r="BG79" s="78" t="str">
        <f>IF(AND($D79&gt;0,BG$6&gt;=$D79,BG$6&lt;=$E79),1,IF(AND($F79&gt;0,BG$6=$F79),"◆",""))</f>
        <v/>
      </c>
      <c r="BH79" s="78" t="str">
        <f>IF(AND($D79&gt;0,BH$6&gt;=$D79,BH$6&lt;=$E79),1,IF(AND($F79&gt;0,BH$6=$F79),"◆",""))</f>
        <v/>
      </c>
      <c r="BI79" s="78" t="str">
        <f>IF(AND($D79&gt;0,BI$6&gt;=$D79,BI$6&lt;=$E79),1,IF(AND($F79&gt;0,BI$6=$F79),"◆",""))</f>
        <v/>
      </c>
      <c r="BJ79" s="78" t="str">
        <f>IF(AND($D79&gt;0,BJ$6&gt;=$D79,BJ$6&lt;=$E79),1,IF(AND($F79&gt;0,BJ$6=$F79),"◆",""))</f>
        <v/>
      </c>
      <c r="BK79" s="78" t="str">
        <f>IF(AND($D79&gt;0,BK$6&gt;=$D79,BK$6&lt;=$E79),1,IF(AND($F79&gt;0,BK$6=$F79),"◆",""))</f>
        <v/>
      </c>
      <c r="BL79" s="78" t="str">
        <f>IF(AND($D79&gt;0,BL$6&gt;=$D79,BL$6&lt;=$E79),1,IF(AND($F79&gt;0,BL$6=$F79),"◆",""))</f>
        <v/>
      </c>
      <c r="BM79" s="78" t="str">
        <f>IF(AND($D79&gt;0,BM$6&gt;=$D79,BM$6&lt;=$E79),1,IF(AND($F79&gt;0,BM$6=$F79),"◆",""))</f>
        <v/>
      </c>
      <c r="BN79" s="78" t="str">
        <f>IF(AND($D79&gt;0,BN$6&gt;=$D79,BN$6&lt;=$E79),1,IF(AND($F79&gt;0,BN$6=$F79),"◆",""))</f>
        <v/>
      </c>
      <c r="BO79" s="78" t="str">
        <f>IF(AND($D79&gt;0,BO$6&gt;=$D79,BO$6&lt;=$E79),1,IF(AND($F79&gt;0,BO$6=$F79),"◆",""))</f>
        <v/>
      </c>
      <c r="BP79" s="78" t="str">
        <f>IF(AND($D79&gt;0,BP$6&gt;=$D79,BP$6&lt;=$E79),1,IF(AND($F79&gt;0,BP$6=$F79),"◆",""))</f>
        <v/>
      </c>
    </row>
    <row r="80">
      <c r="A80" s="75" t="str">
        <f>IF(INDEX(of_ref,74)="","",INDEX(of_num,74)&amp;"")</f>
        <v/>
      </c>
      <c r="B80" s="75" t="str">
        <f>IF(INDEX(of_ref,74)="","",INDEX(of_des,74)&amp;"")</f>
        <v/>
      </c>
      <c r="C80" s="76" t="str">
        <f>IF(INDEX(of_ref,74)="","",INDEX(of_poste,74)&amp;"")</f>
        <v/>
      </c>
      <c r="D80" s="77">
        <f>INDEX(of_start,74)</f>
        <v>0.0</v>
      </c>
      <c r="E80" s="77">
        <f>INDEX(of_end,74)</f>
        <v>0.0</v>
      </c>
      <c r="F80" s="77">
        <f>IF(N(INDEX(of_need,74))=0,0,INDEX(of_need,74))</f>
        <v>0.0</v>
      </c>
      <c r="G80" s="76" t="str">
        <f>IF(INDEX(of_ref,74)="","",INDEX(of_etat,74)&amp;"")</f>
        <v/>
      </c>
      <c r="I80" s="78" t="str">
        <f>IF(AND($D80&gt;0,I$6&gt;=$D80,I$6&lt;=$E80),1,IF(AND($F80&gt;0,I$6=$F80),"◆",""))</f>
        <v/>
      </c>
      <c r="J80" s="78" t="str">
        <f>IF(AND($D80&gt;0,J$6&gt;=$D80,J$6&lt;=$E80),1,IF(AND($F80&gt;0,J$6=$F80),"◆",""))</f>
        <v/>
      </c>
      <c r="K80" s="78" t="str">
        <f>IF(AND($D80&gt;0,K$6&gt;=$D80,K$6&lt;=$E80),1,IF(AND($F80&gt;0,K$6=$F80),"◆",""))</f>
        <v/>
      </c>
      <c r="L80" s="78" t="str">
        <f>IF(AND($D80&gt;0,L$6&gt;=$D80,L$6&lt;=$E80),1,IF(AND($F80&gt;0,L$6=$F80),"◆",""))</f>
        <v/>
      </c>
      <c r="M80" s="78" t="str">
        <f>IF(AND($D80&gt;0,M$6&gt;=$D80,M$6&lt;=$E80),1,IF(AND($F80&gt;0,M$6=$F80),"◆",""))</f>
        <v/>
      </c>
      <c r="N80" s="78" t="str">
        <f>IF(AND($D80&gt;0,N$6&gt;=$D80,N$6&lt;=$E80),1,IF(AND($F80&gt;0,N$6=$F80),"◆",""))</f>
        <v/>
      </c>
      <c r="O80" s="78" t="str">
        <f>IF(AND($D80&gt;0,O$6&gt;=$D80,O$6&lt;=$E80),1,IF(AND($F80&gt;0,O$6=$F80),"◆",""))</f>
        <v/>
      </c>
      <c r="P80" s="78" t="str">
        <f>IF(AND($D80&gt;0,P$6&gt;=$D80,P$6&lt;=$E80),1,IF(AND($F80&gt;0,P$6=$F80),"◆",""))</f>
        <v/>
      </c>
      <c r="Q80" s="78" t="str">
        <f>IF(AND($D80&gt;0,Q$6&gt;=$D80,Q$6&lt;=$E80),1,IF(AND($F80&gt;0,Q$6=$F80),"◆",""))</f>
        <v/>
      </c>
      <c r="R80" s="78" t="str">
        <f>IF(AND($D80&gt;0,R$6&gt;=$D80,R$6&lt;=$E80),1,IF(AND($F80&gt;0,R$6=$F80),"◆",""))</f>
        <v/>
      </c>
      <c r="S80" s="78" t="str">
        <f>IF(AND($D80&gt;0,S$6&gt;=$D80,S$6&lt;=$E80),1,IF(AND($F80&gt;0,S$6=$F80),"◆",""))</f>
        <v/>
      </c>
      <c r="T80" s="78" t="str">
        <f>IF(AND($D80&gt;0,T$6&gt;=$D80,T$6&lt;=$E80),1,IF(AND($F80&gt;0,T$6=$F80),"◆",""))</f>
        <v/>
      </c>
      <c r="U80" s="78" t="str">
        <f>IF(AND($D80&gt;0,U$6&gt;=$D80,U$6&lt;=$E80),1,IF(AND($F80&gt;0,U$6=$F80),"◆",""))</f>
        <v/>
      </c>
      <c r="V80" s="78" t="str">
        <f>IF(AND($D80&gt;0,V$6&gt;=$D80,V$6&lt;=$E80),1,IF(AND($F80&gt;0,V$6=$F80),"◆",""))</f>
        <v/>
      </c>
      <c r="W80" s="78" t="str">
        <f>IF(AND($D80&gt;0,W$6&gt;=$D80,W$6&lt;=$E80),1,IF(AND($F80&gt;0,W$6=$F80),"◆",""))</f>
        <v/>
      </c>
      <c r="X80" s="78" t="str">
        <f>IF(AND($D80&gt;0,X$6&gt;=$D80,X$6&lt;=$E80),1,IF(AND($F80&gt;0,X$6=$F80),"◆",""))</f>
        <v/>
      </c>
      <c r="Y80" s="78" t="str">
        <f>IF(AND($D80&gt;0,Y$6&gt;=$D80,Y$6&lt;=$E80),1,IF(AND($F80&gt;0,Y$6=$F80),"◆",""))</f>
        <v/>
      </c>
      <c r="Z80" s="78" t="str">
        <f>IF(AND($D80&gt;0,Z$6&gt;=$D80,Z$6&lt;=$E80),1,IF(AND($F80&gt;0,Z$6=$F80),"◆",""))</f>
        <v/>
      </c>
      <c r="AA80" s="78" t="str">
        <f>IF(AND($D80&gt;0,AA$6&gt;=$D80,AA$6&lt;=$E80),1,IF(AND($F80&gt;0,AA$6=$F80),"◆",""))</f>
        <v/>
      </c>
      <c r="AB80" s="78" t="str">
        <f>IF(AND($D80&gt;0,AB$6&gt;=$D80,AB$6&lt;=$E80),1,IF(AND($F80&gt;0,AB$6=$F80),"◆",""))</f>
        <v/>
      </c>
      <c r="AC80" s="78" t="str">
        <f>IF(AND($D80&gt;0,AC$6&gt;=$D80,AC$6&lt;=$E80),1,IF(AND($F80&gt;0,AC$6=$F80),"◆",""))</f>
        <v/>
      </c>
      <c r="AD80" s="78" t="str">
        <f>IF(AND($D80&gt;0,AD$6&gt;=$D80,AD$6&lt;=$E80),1,IF(AND($F80&gt;0,AD$6=$F80),"◆",""))</f>
        <v/>
      </c>
      <c r="AE80" s="78" t="str">
        <f>IF(AND($D80&gt;0,AE$6&gt;=$D80,AE$6&lt;=$E80),1,IF(AND($F80&gt;0,AE$6=$F80),"◆",""))</f>
        <v/>
      </c>
      <c r="AF80" s="78" t="str">
        <f>IF(AND($D80&gt;0,AF$6&gt;=$D80,AF$6&lt;=$E80),1,IF(AND($F80&gt;0,AF$6=$F80),"◆",""))</f>
        <v/>
      </c>
      <c r="AG80" s="78" t="str">
        <f>IF(AND($D80&gt;0,AG$6&gt;=$D80,AG$6&lt;=$E80),1,IF(AND($F80&gt;0,AG$6=$F80),"◆",""))</f>
        <v/>
      </c>
      <c r="AH80" s="78" t="str">
        <f>IF(AND($D80&gt;0,AH$6&gt;=$D80,AH$6&lt;=$E80),1,IF(AND($F80&gt;0,AH$6=$F80),"◆",""))</f>
        <v/>
      </c>
      <c r="AI80" s="78" t="str">
        <f>IF(AND($D80&gt;0,AI$6&gt;=$D80,AI$6&lt;=$E80),1,IF(AND($F80&gt;0,AI$6=$F80),"◆",""))</f>
        <v/>
      </c>
      <c r="AJ80" s="78" t="str">
        <f>IF(AND($D80&gt;0,AJ$6&gt;=$D80,AJ$6&lt;=$E80),1,IF(AND($F80&gt;0,AJ$6=$F80),"◆",""))</f>
        <v/>
      </c>
      <c r="AK80" s="78" t="str">
        <f>IF(AND($D80&gt;0,AK$6&gt;=$D80,AK$6&lt;=$E80),1,IF(AND($F80&gt;0,AK$6=$F80),"◆",""))</f>
        <v/>
      </c>
      <c r="AL80" s="78" t="str">
        <f>IF(AND($D80&gt;0,AL$6&gt;=$D80,AL$6&lt;=$E80),1,IF(AND($F80&gt;0,AL$6=$F80),"◆",""))</f>
        <v/>
      </c>
      <c r="AM80" s="78" t="str">
        <f>IF(AND($D80&gt;0,AM$6&gt;=$D80,AM$6&lt;=$E80),1,IF(AND($F80&gt;0,AM$6=$F80),"◆",""))</f>
        <v/>
      </c>
      <c r="AN80" s="78" t="str">
        <f>IF(AND($D80&gt;0,AN$6&gt;=$D80,AN$6&lt;=$E80),1,IF(AND($F80&gt;0,AN$6=$F80),"◆",""))</f>
        <v/>
      </c>
      <c r="AO80" s="78" t="str">
        <f>IF(AND($D80&gt;0,AO$6&gt;=$D80,AO$6&lt;=$E80),1,IF(AND($F80&gt;0,AO$6=$F80),"◆",""))</f>
        <v/>
      </c>
      <c r="AP80" s="78" t="str">
        <f>IF(AND($D80&gt;0,AP$6&gt;=$D80,AP$6&lt;=$E80),1,IF(AND($F80&gt;0,AP$6=$F80),"◆",""))</f>
        <v/>
      </c>
      <c r="AQ80" s="78" t="str">
        <f>IF(AND($D80&gt;0,AQ$6&gt;=$D80,AQ$6&lt;=$E80),1,IF(AND($F80&gt;0,AQ$6=$F80),"◆",""))</f>
        <v/>
      </c>
      <c r="AR80" s="78" t="str">
        <f>IF(AND($D80&gt;0,AR$6&gt;=$D80,AR$6&lt;=$E80),1,IF(AND($F80&gt;0,AR$6=$F80),"◆",""))</f>
        <v/>
      </c>
      <c r="AS80" s="78" t="str">
        <f>IF(AND($D80&gt;0,AS$6&gt;=$D80,AS$6&lt;=$E80),1,IF(AND($F80&gt;0,AS$6=$F80),"◆",""))</f>
        <v/>
      </c>
      <c r="AT80" s="78" t="str">
        <f>IF(AND($D80&gt;0,AT$6&gt;=$D80,AT$6&lt;=$E80),1,IF(AND($F80&gt;0,AT$6=$F80),"◆",""))</f>
        <v/>
      </c>
      <c r="AU80" s="78" t="str">
        <f>IF(AND($D80&gt;0,AU$6&gt;=$D80,AU$6&lt;=$E80),1,IF(AND($F80&gt;0,AU$6=$F80),"◆",""))</f>
        <v/>
      </c>
      <c r="AV80" s="78" t="str">
        <f>IF(AND($D80&gt;0,AV$6&gt;=$D80,AV$6&lt;=$E80),1,IF(AND($F80&gt;0,AV$6=$F80),"◆",""))</f>
        <v/>
      </c>
      <c r="AW80" s="78" t="str">
        <f>IF(AND($D80&gt;0,AW$6&gt;=$D80,AW$6&lt;=$E80),1,IF(AND($F80&gt;0,AW$6=$F80),"◆",""))</f>
        <v/>
      </c>
      <c r="AX80" s="78" t="str">
        <f>IF(AND($D80&gt;0,AX$6&gt;=$D80,AX$6&lt;=$E80),1,IF(AND($F80&gt;0,AX$6=$F80),"◆",""))</f>
        <v/>
      </c>
      <c r="AY80" s="78" t="str">
        <f>IF(AND($D80&gt;0,AY$6&gt;=$D80,AY$6&lt;=$E80),1,IF(AND($F80&gt;0,AY$6=$F80),"◆",""))</f>
        <v/>
      </c>
      <c r="AZ80" s="78" t="str">
        <f>IF(AND($D80&gt;0,AZ$6&gt;=$D80,AZ$6&lt;=$E80),1,IF(AND($F80&gt;0,AZ$6=$F80),"◆",""))</f>
        <v/>
      </c>
      <c r="BA80" s="78" t="str">
        <f>IF(AND($D80&gt;0,BA$6&gt;=$D80,BA$6&lt;=$E80),1,IF(AND($F80&gt;0,BA$6=$F80),"◆",""))</f>
        <v/>
      </c>
      <c r="BB80" s="78" t="str">
        <f>IF(AND($D80&gt;0,BB$6&gt;=$D80,BB$6&lt;=$E80),1,IF(AND($F80&gt;0,BB$6=$F80),"◆",""))</f>
        <v/>
      </c>
      <c r="BC80" s="78" t="str">
        <f>IF(AND($D80&gt;0,BC$6&gt;=$D80,BC$6&lt;=$E80),1,IF(AND($F80&gt;0,BC$6=$F80),"◆",""))</f>
        <v/>
      </c>
      <c r="BD80" s="78" t="str">
        <f>IF(AND($D80&gt;0,BD$6&gt;=$D80,BD$6&lt;=$E80),1,IF(AND($F80&gt;0,BD$6=$F80),"◆",""))</f>
        <v/>
      </c>
      <c r="BE80" s="78" t="str">
        <f>IF(AND($D80&gt;0,BE$6&gt;=$D80,BE$6&lt;=$E80),1,IF(AND($F80&gt;0,BE$6=$F80),"◆",""))</f>
        <v/>
      </c>
      <c r="BF80" s="78" t="str">
        <f>IF(AND($D80&gt;0,BF$6&gt;=$D80,BF$6&lt;=$E80),1,IF(AND($F80&gt;0,BF$6=$F80),"◆",""))</f>
        <v/>
      </c>
      <c r="BG80" s="78" t="str">
        <f>IF(AND($D80&gt;0,BG$6&gt;=$D80,BG$6&lt;=$E80),1,IF(AND($F80&gt;0,BG$6=$F80),"◆",""))</f>
        <v/>
      </c>
      <c r="BH80" s="78" t="str">
        <f>IF(AND($D80&gt;0,BH$6&gt;=$D80,BH$6&lt;=$E80),1,IF(AND($F80&gt;0,BH$6=$F80),"◆",""))</f>
        <v/>
      </c>
      <c r="BI80" s="78" t="str">
        <f>IF(AND($D80&gt;0,BI$6&gt;=$D80,BI$6&lt;=$E80),1,IF(AND($F80&gt;0,BI$6=$F80),"◆",""))</f>
        <v/>
      </c>
      <c r="BJ80" s="78" t="str">
        <f>IF(AND($D80&gt;0,BJ$6&gt;=$D80,BJ$6&lt;=$E80),1,IF(AND($F80&gt;0,BJ$6=$F80),"◆",""))</f>
        <v/>
      </c>
      <c r="BK80" s="78" t="str">
        <f>IF(AND($D80&gt;0,BK$6&gt;=$D80,BK$6&lt;=$E80),1,IF(AND($F80&gt;0,BK$6=$F80),"◆",""))</f>
        <v/>
      </c>
      <c r="BL80" s="78" t="str">
        <f>IF(AND($D80&gt;0,BL$6&gt;=$D80,BL$6&lt;=$E80),1,IF(AND($F80&gt;0,BL$6=$F80),"◆",""))</f>
        <v/>
      </c>
      <c r="BM80" s="78" t="str">
        <f>IF(AND($D80&gt;0,BM$6&gt;=$D80,BM$6&lt;=$E80),1,IF(AND($F80&gt;0,BM$6=$F80),"◆",""))</f>
        <v/>
      </c>
      <c r="BN80" s="78" t="str">
        <f>IF(AND($D80&gt;0,BN$6&gt;=$D80,BN$6&lt;=$E80),1,IF(AND($F80&gt;0,BN$6=$F80),"◆",""))</f>
        <v/>
      </c>
      <c r="BO80" s="78" t="str">
        <f>IF(AND($D80&gt;0,BO$6&gt;=$D80,BO$6&lt;=$E80),1,IF(AND($F80&gt;0,BO$6=$F80),"◆",""))</f>
        <v/>
      </c>
      <c r="BP80" s="78" t="str">
        <f>IF(AND($D80&gt;0,BP$6&gt;=$D80,BP$6&lt;=$E80),1,IF(AND($F80&gt;0,BP$6=$F80),"◆",""))</f>
        <v/>
      </c>
    </row>
    <row r="81">
      <c r="A81" s="75" t="str">
        <f>IF(INDEX(of_ref,75)="","",INDEX(of_num,75)&amp;"")</f>
        <v/>
      </c>
      <c r="B81" s="75" t="str">
        <f>IF(INDEX(of_ref,75)="","",INDEX(of_des,75)&amp;"")</f>
        <v/>
      </c>
      <c r="C81" s="76" t="str">
        <f>IF(INDEX(of_ref,75)="","",INDEX(of_poste,75)&amp;"")</f>
        <v/>
      </c>
      <c r="D81" s="77">
        <f>INDEX(of_start,75)</f>
        <v>0.0</v>
      </c>
      <c r="E81" s="77">
        <f>INDEX(of_end,75)</f>
        <v>0.0</v>
      </c>
      <c r="F81" s="77">
        <f>IF(N(INDEX(of_need,75))=0,0,INDEX(of_need,75))</f>
        <v>0.0</v>
      </c>
      <c r="G81" s="76" t="str">
        <f>IF(INDEX(of_ref,75)="","",INDEX(of_etat,75)&amp;"")</f>
        <v/>
      </c>
      <c r="I81" s="78" t="str">
        <f>IF(AND($D81&gt;0,I$6&gt;=$D81,I$6&lt;=$E81),1,IF(AND($F81&gt;0,I$6=$F81),"◆",""))</f>
        <v/>
      </c>
      <c r="J81" s="78" t="str">
        <f>IF(AND($D81&gt;0,J$6&gt;=$D81,J$6&lt;=$E81),1,IF(AND($F81&gt;0,J$6=$F81),"◆",""))</f>
        <v/>
      </c>
      <c r="K81" s="78" t="str">
        <f>IF(AND($D81&gt;0,K$6&gt;=$D81,K$6&lt;=$E81),1,IF(AND($F81&gt;0,K$6=$F81),"◆",""))</f>
        <v/>
      </c>
      <c r="L81" s="78" t="str">
        <f>IF(AND($D81&gt;0,L$6&gt;=$D81,L$6&lt;=$E81),1,IF(AND($F81&gt;0,L$6=$F81),"◆",""))</f>
        <v/>
      </c>
      <c r="M81" s="78" t="str">
        <f>IF(AND($D81&gt;0,M$6&gt;=$D81,M$6&lt;=$E81),1,IF(AND($F81&gt;0,M$6=$F81),"◆",""))</f>
        <v/>
      </c>
      <c r="N81" s="78" t="str">
        <f>IF(AND($D81&gt;0,N$6&gt;=$D81,N$6&lt;=$E81),1,IF(AND($F81&gt;0,N$6=$F81),"◆",""))</f>
        <v/>
      </c>
      <c r="O81" s="78" t="str">
        <f>IF(AND($D81&gt;0,O$6&gt;=$D81,O$6&lt;=$E81),1,IF(AND($F81&gt;0,O$6=$F81),"◆",""))</f>
        <v/>
      </c>
      <c r="P81" s="78" t="str">
        <f>IF(AND($D81&gt;0,P$6&gt;=$D81,P$6&lt;=$E81),1,IF(AND($F81&gt;0,P$6=$F81),"◆",""))</f>
        <v/>
      </c>
      <c r="Q81" s="78" t="str">
        <f>IF(AND($D81&gt;0,Q$6&gt;=$D81,Q$6&lt;=$E81),1,IF(AND($F81&gt;0,Q$6=$F81),"◆",""))</f>
        <v/>
      </c>
      <c r="R81" s="78" t="str">
        <f>IF(AND($D81&gt;0,R$6&gt;=$D81,R$6&lt;=$E81),1,IF(AND($F81&gt;0,R$6=$F81),"◆",""))</f>
        <v/>
      </c>
      <c r="S81" s="78" t="str">
        <f>IF(AND($D81&gt;0,S$6&gt;=$D81,S$6&lt;=$E81),1,IF(AND($F81&gt;0,S$6=$F81),"◆",""))</f>
        <v/>
      </c>
      <c r="T81" s="78" t="str">
        <f>IF(AND($D81&gt;0,T$6&gt;=$D81,T$6&lt;=$E81),1,IF(AND($F81&gt;0,T$6=$F81),"◆",""))</f>
        <v/>
      </c>
      <c r="U81" s="78" t="str">
        <f>IF(AND($D81&gt;0,U$6&gt;=$D81,U$6&lt;=$E81),1,IF(AND($F81&gt;0,U$6=$F81),"◆",""))</f>
        <v/>
      </c>
      <c r="V81" s="78" t="str">
        <f>IF(AND($D81&gt;0,V$6&gt;=$D81,V$6&lt;=$E81),1,IF(AND($F81&gt;0,V$6=$F81),"◆",""))</f>
        <v/>
      </c>
      <c r="W81" s="78" t="str">
        <f>IF(AND($D81&gt;0,W$6&gt;=$D81,W$6&lt;=$E81),1,IF(AND($F81&gt;0,W$6=$F81),"◆",""))</f>
        <v/>
      </c>
      <c r="X81" s="78" t="str">
        <f>IF(AND($D81&gt;0,X$6&gt;=$D81,X$6&lt;=$E81),1,IF(AND($F81&gt;0,X$6=$F81),"◆",""))</f>
        <v/>
      </c>
      <c r="Y81" s="78" t="str">
        <f>IF(AND($D81&gt;0,Y$6&gt;=$D81,Y$6&lt;=$E81),1,IF(AND($F81&gt;0,Y$6=$F81),"◆",""))</f>
        <v/>
      </c>
      <c r="Z81" s="78" t="str">
        <f>IF(AND($D81&gt;0,Z$6&gt;=$D81,Z$6&lt;=$E81),1,IF(AND($F81&gt;0,Z$6=$F81),"◆",""))</f>
        <v/>
      </c>
      <c r="AA81" s="78" t="str">
        <f>IF(AND($D81&gt;0,AA$6&gt;=$D81,AA$6&lt;=$E81),1,IF(AND($F81&gt;0,AA$6=$F81),"◆",""))</f>
        <v/>
      </c>
      <c r="AB81" s="78" t="str">
        <f>IF(AND($D81&gt;0,AB$6&gt;=$D81,AB$6&lt;=$E81),1,IF(AND($F81&gt;0,AB$6=$F81),"◆",""))</f>
        <v/>
      </c>
      <c r="AC81" s="78" t="str">
        <f>IF(AND($D81&gt;0,AC$6&gt;=$D81,AC$6&lt;=$E81),1,IF(AND($F81&gt;0,AC$6=$F81),"◆",""))</f>
        <v/>
      </c>
      <c r="AD81" s="78" t="str">
        <f>IF(AND($D81&gt;0,AD$6&gt;=$D81,AD$6&lt;=$E81),1,IF(AND($F81&gt;0,AD$6=$F81),"◆",""))</f>
        <v/>
      </c>
      <c r="AE81" s="78" t="str">
        <f>IF(AND($D81&gt;0,AE$6&gt;=$D81,AE$6&lt;=$E81),1,IF(AND($F81&gt;0,AE$6=$F81),"◆",""))</f>
        <v/>
      </c>
      <c r="AF81" s="78" t="str">
        <f>IF(AND($D81&gt;0,AF$6&gt;=$D81,AF$6&lt;=$E81),1,IF(AND($F81&gt;0,AF$6=$F81),"◆",""))</f>
        <v/>
      </c>
      <c r="AG81" s="78" t="str">
        <f>IF(AND($D81&gt;0,AG$6&gt;=$D81,AG$6&lt;=$E81),1,IF(AND($F81&gt;0,AG$6=$F81),"◆",""))</f>
        <v/>
      </c>
      <c r="AH81" s="78" t="str">
        <f>IF(AND($D81&gt;0,AH$6&gt;=$D81,AH$6&lt;=$E81),1,IF(AND($F81&gt;0,AH$6=$F81),"◆",""))</f>
        <v/>
      </c>
      <c r="AI81" s="78" t="str">
        <f>IF(AND($D81&gt;0,AI$6&gt;=$D81,AI$6&lt;=$E81),1,IF(AND($F81&gt;0,AI$6=$F81),"◆",""))</f>
        <v/>
      </c>
      <c r="AJ81" s="78" t="str">
        <f>IF(AND($D81&gt;0,AJ$6&gt;=$D81,AJ$6&lt;=$E81),1,IF(AND($F81&gt;0,AJ$6=$F81),"◆",""))</f>
        <v/>
      </c>
      <c r="AK81" s="78" t="str">
        <f>IF(AND($D81&gt;0,AK$6&gt;=$D81,AK$6&lt;=$E81),1,IF(AND($F81&gt;0,AK$6=$F81),"◆",""))</f>
        <v/>
      </c>
      <c r="AL81" s="78" t="str">
        <f>IF(AND($D81&gt;0,AL$6&gt;=$D81,AL$6&lt;=$E81),1,IF(AND($F81&gt;0,AL$6=$F81),"◆",""))</f>
        <v/>
      </c>
      <c r="AM81" s="78" t="str">
        <f>IF(AND($D81&gt;0,AM$6&gt;=$D81,AM$6&lt;=$E81),1,IF(AND($F81&gt;0,AM$6=$F81),"◆",""))</f>
        <v/>
      </c>
      <c r="AN81" s="78" t="str">
        <f>IF(AND($D81&gt;0,AN$6&gt;=$D81,AN$6&lt;=$E81),1,IF(AND($F81&gt;0,AN$6=$F81),"◆",""))</f>
        <v/>
      </c>
      <c r="AO81" s="78" t="str">
        <f>IF(AND($D81&gt;0,AO$6&gt;=$D81,AO$6&lt;=$E81),1,IF(AND($F81&gt;0,AO$6=$F81),"◆",""))</f>
        <v/>
      </c>
      <c r="AP81" s="78" t="str">
        <f>IF(AND($D81&gt;0,AP$6&gt;=$D81,AP$6&lt;=$E81),1,IF(AND($F81&gt;0,AP$6=$F81),"◆",""))</f>
        <v/>
      </c>
      <c r="AQ81" s="78" t="str">
        <f>IF(AND($D81&gt;0,AQ$6&gt;=$D81,AQ$6&lt;=$E81),1,IF(AND($F81&gt;0,AQ$6=$F81),"◆",""))</f>
        <v/>
      </c>
      <c r="AR81" s="78" t="str">
        <f>IF(AND($D81&gt;0,AR$6&gt;=$D81,AR$6&lt;=$E81),1,IF(AND($F81&gt;0,AR$6=$F81),"◆",""))</f>
        <v/>
      </c>
      <c r="AS81" s="78" t="str">
        <f>IF(AND($D81&gt;0,AS$6&gt;=$D81,AS$6&lt;=$E81),1,IF(AND($F81&gt;0,AS$6=$F81),"◆",""))</f>
        <v/>
      </c>
      <c r="AT81" s="78" t="str">
        <f>IF(AND($D81&gt;0,AT$6&gt;=$D81,AT$6&lt;=$E81),1,IF(AND($F81&gt;0,AT$6=$F81),"◆",""))</f>
        <v/>
      </c>
      <c r="AU81" s="78" t="str">
        <f>IF(AND($D81&gt;0,AU$6&gt;=$D81,AU$6&lt;=$E81),1,IF(AND($F81&gt;0,AU$6=$F81),"◆",""))</f>
        <v/>
      </c>
      <c r="AV81" s="78" t="str">
        <f>IF(AND($D81&gt;0,AV$6&gt;=$D81,AV$6&lt;=$E81),1,IF(AND($F81&gt;0,AV$6=$F81),"◆",""))</f>
        <v/>
      </c>
      <c r="AW81" s="78" t="str">
        <f>IF(AND($D81&gt;0,AW$6&gt;=$D81,AW$6&lt;=$E81),1,IF(AND($F81&gt;0,AW$6=$F81),"◆",""))</f>
        <v/>
      </c>
      <c r="AX81" s="78" t="str">
        <f>IF(AND($D81&gt;0,AX$6&gt;=$D81,AX$6&lt;=$E81),1,IF(AND($F81&gt;0,AX$6=$F81),"◆",""))</f>
        <v/>
      </c>
      <c r="AY81" s="78" t="str">
        <f>IF(AND($D81&gt;0,AY$6&gt;=$D81,AY$6&lt;=$E81),1,IF(AND($F81&gt;0,AY$6=$F81),"◆",""))</f>
        <v/>
      </c>
      <c r="AZ81" s="78" t="str">
        <f>IF(AND($D81&gt;0,AZ$6&gt;=$D81,AZ$6&lt;=$E81),1,IF(AND($F81&gt;0,AZ$6=$F81),"◆",""))</f>
        <v/>
      </c>
      <c r="BA81" s="78" t="str">
        <f>IF(AND($D81&gt;0,BA$6&gt;=$D81,BA$6&lt;=$E81),1,IF(AND($F81&gt;0,BA$6=$F81),"◆",""))</f>
        <v/>
      </c>
      <c r="BB81" s="78" t="str">
        <f>IF(AND($D81&gt;0,BB$6&gt;=$D81,BB$6&lt;=$E81),1,IF(AND($F81&gt;0,BB$6=$F81),"◆",""))</f>
        <v/>
      </c>
      <c r="BC81" s="78" t="str">
        <f>IF(AND($D81&gt;0,BC$6&gt;=$D81,BC$6&lt;=$E81),1,IF(AND($F81&gt;0,BC$6=$F81),"◆",""))</f>
        <v/>
      </c>
      <c r="BD81" s="78" t="str">
        <f>IF(AND($D81&gt;0,BD$6&gt;=$D81,BD$6&lt;=$E81),1,IF(AND($F81&gt;0,BD$6=$F81),"◆",""))</f>
        <v/>
      </c>
      <c r="BE81" s="78" t="str">
        <f>IF(AND($D81&gt;0,BE$6&gt;=$D81,BE$6&lt;=$E81),1,IF(AND($F81&gt;0,BE$6=$F81),"◆",""))</f>
        <v/>
      </c>
      <c r="BF81" s="78" t="str">
        <f>IF(AND($D81&gt;0,BF$6&gt;=$D81,BF$6&lt;=$E81),1,IF(AND($F81&gt;0,BF$6=$F81),"◆",""))</f>
        <v/>
      </c>
      <c r="BG81" s="78" t="str">
        <f>IF(AND($D81&gt;0,BG$6&gt;=$D81,BG$6&lt;=$E81),1,IF(AND($F81&gt;0,BG$6=$F81),"◆",""))</f>
        <v/>
      </c>
      <c r="BH81" s="78" t="str">
        <f>IF(AND($D81&gt;0,BH$6&gt;=$D81,BH$6&lt;=$E81),1,IF(AND($F81&gt;0,BH$6=$F81),"◆",""))</f>
        <v/>
      </c>
      <c r="BI81" s="78" t="str">
        <f>IF(AND($D81&gt;0,BI$6&gt;=$D81,BI$6&lt;=$E81),1,IF(AND($F81&gt;0,BI$6=$F81),"◆",""))</f>
        <v/>
      </c>
      <c r="BJ81" s="78" t="str">
        <f>IF(AND($D81&gt;0,BJ$6&gt;=$D81,BJ$6&lt;=$E81),1,IF(AND($F81&gt;0,BJ$6=$F81),"◆",""))</f>
        <v/>
      </c>
      <c r="BK81" s="78" t="str">
        <f>IF(AND($D81&gt;0,BK$6&gt;=$D81,BK$6&lt;=$E81),1,IF(AND($F81&gt;0,BK$6=$F81),"◆",""))</f>
        <v/>
      </c>
      <c r="BL81" s="78" t="str">
        <f>IF(AND($D81&gt;0,BL$6&gt;=$D81,BL$6&lt;=$E81),1,IF(AND($F81&gt;0,BL$6=$F81),"◆",""))</f>
        <v/>
      </c>
      <c r="BM81" s="78" t="str">
        <f>IF(AND($D81&gt;0,BM$6&gt;=$D81,BM$6&lt;=$E81),1,IF(AND($F81&gt;0,BM$6=$F81),"◆",""))</f>
        <v/>
      </c>
      <c r="BN81" s="78" t="str">
        <f>IF(AND($D81&gt;0,BN$6&gt;=$D81,BN$6&lt;=$E81),1,IF(AND($F81&gt;0,BN$6=$F81),"◆",""))</f>
        <v/>
      </c>
      <c r="BO81" s="78" t="str">
        <f>IF(AND($D81&gt;0,BO$6&gt;=$D81,BO$6&lt;=$E81),1,IF(AND($F81&gt;0,BO$6=$F81),"◆",""))</f>
        <v/>
      </c>
      <c r="BP81" s="78" t="str">
        <f>IF(AND($D81&gt;0,BP$6&gt;=$D81,BP$6&lt;=$E81),1,IF(AND($F81&gt;0,BP$6=$F81),"◆",""))</f>
        <v/>
      </c>
    </row>
    <row r="82">
      <c r="A82" s="75" t="str">
        <f>IF(INDEX(of_ref,76)="","",INDEX(of_num,76)&amp;"")</f>
        <v/>
      </c>
      <c r="B82" s="75" t="str">
        <f>IF(INDEX(of_ref,76)="","",INDEX(of_des,76)&amp;"")</f>
        <v/>
      </c>
      <c r="C82" s="76" t="str">
        <f>IF(INDEX(of_ref,76)="","",INDEX(of_poste,76)&amp;"")</f>
        <v/>
      </c>
      <c r="D82" s="77">
        <f>INDEX(of_start,76)</f>
        <v>0.0</v>
      </c>
      <c r="E82" s="77">
        <f>INDEX(of_end,76)</f>
        <v>0.0</v>
      </c>
      <c r="F82" s="77">
        <f>IF(N(INDEX(of_need,76))=0,0,INDEX(of_need,76))</f>
        <v>0.0</v>
      </c>
      <c r="G82" s="76" t="str">
        <f>IF(INDEX(of_ref,76)="","",INDEX(of_etat,76)&amp;"")</f>
        <v/>
      </c>
      <c r="I82" s="78" t="str">
        <f>IF(AND($D82&gt;0,I$6&gt;=$D82,I$6&lt;=$E82),1,IF(AND($F82&gt;0,I$6=$F82),"◆",""))</f>
        <v/>
      </c>
      <c r="J82" s="78" t="str">
        <f>IF(AND($D82&gt;0,J$6&gt;=$D82,J$6&lt;=$E82),1,IF(AND($F82&gt;0,J$6=$F82),"◆",""))</f>
        <v/>
      </c>
      <c r="K82" s="78" t="str">
        <f>IF(AND($D82&gt;0,K$6&gt;=$D82,K$6&lt;=$E82),1,IF(AND($F82&gt;0,K$6=$F82),"◆",""))</f>
        <v/>
      </c>
      <c r="L82" s="78" t="str">
        <f>IF(AND($D82&gt;0,L$6&gt;=$D82,L$6&lt;=$E82),1,IF(AND($F82&gt;0,L$6=$F82),"◆",""))</f>
        <v/>
      </c>
      <c r="M82" s="78" t="str">
        <f>IF(AND($D82&gt;0,M$6&gt;=$D82,M$6&lt;=$E82),1,IF(AND($F82&gt;0,M$6=$F82),"◆",""))</f>
        <v/>
      </c>
      <c r="N82" s="78" t="str">
        <f>IF(AND($D82&gt;0,N$6&gt;=$D82,N$6&lt;=$E82),1,IF(AND($F82&gt;0,N$6=$F82),"◆",""))</f>
        <v/>
      </c>
      <c r="O82" s="78" t="str">
        <f>IF(AND($D82&gt;0,O$6&gt;=$D82,O$6&lt;=$E82),1,IF(AND($F82&gt;0,O$6=$F82),"◆",""))</f>
        <v/>
      </c>
      <c r="P82" s="78" t="str">
        <f>IF(AND($D82&gt;0,P$6&gt;=$D82,P$6&lt;=$E82),1,IF(AND($F82&gt;0,P$6=$F82),"◆",""))</f>
        <v/>
      </c>
      <c r="Q82" s="78" t="str">
        <f>IF(AND($D82&gt;0,Q$6&gt;=$D82,Q$6&lt;=$E82),1,IF(AND($F82&gt;0,Q$6=$F82),"◆",""))</f>
        <v/>
      </c>
      <c r="R82" s="78" t="str">
        <f>IF(AND($D82&gt;0,R$6&gt;=$D82,R$6&lt;=$E82),1,IF(AND($F82&gt;0,R$6=$F82),"◆",""))</f>
        <v/>
      </c>
      <c r="S82" s="78" t="str">
        <f>IF(AND($D82&gt;0,S$6&gt;=$D82,S$6&lt;=$E82),1,IF(AND($F82&gt;0,S$6=$F82),"◆",""))</f>
        <v/>
      </c>
      <c r="T82" s="78" t="str">
        <f>IF(AND($D82&gt;0,T$6&gt;=$D82,T$6&lt;=$E82),1,IF(AND($F82&gt;0,T$6=$F82),"◆",""))</f>
        <v/>
      </c>
      <c r="U82" s="78" t="str">
        <f>IF(AND($D82&gt;0,U$6&gt;=$D82,U$6&lt;=$E82),1,IF(AND($F82&gt;0,U$6=$F82),"◆",""))</f>
        <v/>
      </c>
      <c r="V82" s="78" t="str">
        <f>IF(AND($D82&gt;0,V$6&gt;=$D82,V$6&lt;=$E82),1,IF(AND($F82&gt;0,V$6=$F82),"◆",""))</f>
        <v/>
      </c>
      <c r="W82" s="78" t="str">
        <f>IF(AND($D82&gt;0,W$6&gt;=$D82,W$6&lt;=$E82),1,IF(AND($F82&gt;0,W$6=$F82),"◆",""))</f>
        <v/>
      </c>
      <c r="X82" s="78" t="str">
        <f>IF(AND($D82&gt;0,X$6&gt;=$D82,X$6&lt;=$E82),1,IF(AND($F82&gt;0,X$6=$F82),"◆",""))</f>
        <v/>
      </c>
      <c r="Y82" s="78" t="str">
        <f>IF(AND($D82&gt;0,Y$6&gt;=$D82,Y$6&lt;=$E82),1,IF(AND($F82&gt;0,Y$6=$F82),"◆",""))</f>
        <v/>
      </c>
      <c r="Z82" s="78" t="str">
        <f>IF(AND($D82&gt;0,Z$6&gt;=$D82,Z$6&lt;=$E82),1,IF(AND($F82&gt;0,Z$6=$F82),"◆",""))</f>
        <v/>
      </c>
      <c r="AA82" s="78" t="str">
        <f>IF(AND($D82&gt;0,AA$6&gt;=$D82,AA$6&lt;=$E82),1,IF(AND($F82&gt;0,AA$6=$F82),"◆",""))</f>
        <v/>
      </c>
      <c r="AB82" s="78" t="str">
        <f>IF(AND($D82&gt;0,AB$6&gt;=$D82,AB$6&lt;=$E82),1,IF(AND($F82&gt;0,AB$6=$F82),"◆",""))</f>
        <v/>
      </c>
      <c r="AC82" s="78" t="str">
        <f>IF(AND($D82&gt;0,AC$6&gt;=$D82,AC$6&lt;=$E82),1,IF(AND($F82&gt;0,AC$6=$F82),"◆",""))</f>
        <v/>
      </c>
      <c r="AD82" s="78" t="str">
        <f>IF(AND($D82&gt;0,AD$6&gt;=$D82,AD$6&lt;=$E82),1,IF(AND($F82&gt;0,AD$6=$F82),"◆",""))</f>
        <v/>
      </c>
      <c r="AE82" s="78" t="str">
        <f>IF(AND($D82&gt;0,AE$6&gt;=$D82,AE$6&lt;=$E82),1,IF(AND($F82&gt;0,AE$6=$F82),"◆",""))</f>
        <v/>
      </c>
      <c r="AF82" s="78" t="str">
        <f>IF(AND($D82&gt;0,AF$6&gt;=$D82,AF$6&lt;=$E82),1,IF(AND($F82&gt;0,AF$6=$F82),"◆",""))</f>
        <v/>
      </c>
      <c r="AG82" s="78" t="str">
        <f>IF(AND($D82&gt;0,AG$6&gt;=$D82,AG$6&lt;=$E82),1,IF(AND($F82&gt;0,AG$6=$F82),"◆",""))</f>
        <v/>
      </c>
      <c r="AH82" s="78" t="str">
        <f>IF(AND($D82&gt;0,AH$6&gt;=$D82,AH$6&lt;=$E82),1,IF(AND($F82&gt;0,AH$6=$F82),"◆",""))</f>
        <v/>
      </c>
      <c r="AI82" s="78" t="str">
        <f>IF(AND($D82&gt;0,AI$6&gt;=$D82,AI$6&lt;=$E82),1,IF(AND($F82&gt;0,AI$6=$F82),"◆",""))</f>
        <v/>
      </c>
      <c r="AJ82" s="78" t="str">
        <f>IF(AND($D82&gt;0,AJ$6&gt;=$D82,AJ$6&lt;=$E82),1,IF(AND($F82&gt;0,AJ$6=$F82),"◆",""))</f>
        <v/>
      </c>
      <c r="AK82" s="78" t="str">
        <f>IF(AND($D82&gt;0,AK$6&gt;=$D82,AK$6&lt;=$E82),1,IF(AND($F82&gt;0,AK$6=$F82),"◆",""))</f>
        <v/>
      </c>
      <c r="AL82" s="78" t="str">
        <f>IF(AND($D82&gt;0,AL$6&gt;=$D82,AL$6&lt;=$E82),1,IF(AND($F82&gt;0,AL$6=$F82),"◆",""))</f>
        <v/>
      </c>
      <c r="AM82" s="78" t="str">
        <f>IF(AND($D82&gt;0,AM$6&gt;=$D82,AM$6&lt;=$E82),1,IF(AND($F82&gt;0,AM$6=$F82),"◆",""))</f>
        <v/>
      </c>
      <c r="AN82" s="78" t="str">
        <f>IF(AND($D82&gt;0,AN$6&gt;=$D82,AN$6&lt;=$E82),1,IF(AND($F82&gt;0,AN$6=$F82),"◆",""))</f>
        <v/>
      </c>
      <c r="AO82" s="78" t="str">
        <f>IF(AND($D82&gt;0,AO$6&gt;=$D82,AO$6&lt;=$E82),1,IF(AND($F82&gt;0,AO$6=$F82),"◆",""))</f>
        <v/>
      </c>
      <c r="AP82" s="78" t="str">
        <f>IF(AND($D82&gt;0,AP$6&gt;=$D82,AP$6&lt;=$E82),1,IF(AND($F82&gt;0,AP$6=$F82),"◆",""))</f>
        <v/>
      </c>
      <c r="AQ82" s="78" t="str">
        <f>IF(AND($D82&gt;0,AQ$6&gt;=$D82,AQ$6&lt;=$E82),1,IF(AND($F82&gt;0,AQ$6=$F82),"◆",""))</f>
        <v/>
      </c>
      <c r="AR82" s="78" t="str">
        <f>IF(AND($D82&gt;0,AR$6&gt;=$D82,AR$6&lt;=$E82),1,IF(AND($F82&gt;0,AR$6=$F82),"◆",""))</f>
        <v/>
      </c>
      <c r="AS82" s="78" t="str">
        <f>IF(AND($D82&gt;0,AS$6&gt;=$D82,AS$6&lt;=$E82),1,IF(AND($F82&gt;0,AS$6=$F82),"◆",""))</f>
        <v/>
      </c>
      <c r="AT82" s="78" t="str">
        <f>IF(AND($D82&gt;0,AT$6&gt;=$D82,AT$6&lt;=$E82),1,IF(AND($F82&gt;0,AT$6=$F82),"◆",""))</f>
        <v/>
      </c>
      <c r="AU82" s="78" t="str">
        <f>IF(AND($D82&gt;0,AU$6&gt;=$D82,AU$6&lt;=$E82),1,IF(AND($F82&gt;0,AU$6=$F82),"◆",""))</f>
        <v/>
      </c>
      <c r="AV82" s="78" t="str">
        <f>IF(AND($D82&gt;0,AV$6&gt;=$D82,AV$6&lt;=$E82),1,IF(AND($F82&gt;0,AV$6=$F82),"◆",""))</f>
        <v/>
      </c>
      <c r="AW82" s="78" t="str">
        <f>IF(AND($D82&gt;0,AW$6&gt;=$D82,AW$6&lt;=$E82),1,IF(AND($F82&gt;0,AW$6=$F82),"◆",""))</f>
        <v/>
      </c>
      <c r="AX82" s="78" t="str">
        <f>IF(AND($D82&gt;0,AX$6&gt;=$D82,AX$6&lt;=$E82),1,IF(AND($F82&gt;0,AX$6=$F82),"◆",""))</f>
        <v/>
      </c>
      <c r="AY82" s="78" t="str">
        <f>IF(AND($D82&gt;0,AY$6&gt;=$D82,AY$6&lt;=$E82),1,IF(AND($F82&gt;0,AY$6=$F82),"◆",""))</f>
        <v/>
      </c>
      <c r="AZ82" s="78" t="str">
        <f>IF(AND($D82&gt;0,AZ$6&gt;=$D82,AZ$6&lt;=$E82),1,IF(AND($F82&gt;0,AZ$6=$F82),"◆",""))</f>
        <v/>
      </c>
      <c r="BA82" s="78" t="str">
        <f>IF(AND($D82&gt;0,BA$6&gt;=$D82,BA$6&lt;=$E82),1,IF(AND($F82&gt;0,BA$6=$F82),"◆",""))</f>
        <v/>
      </c>
      <c r="BB82" s="78" t="str">
        <f>IF(AND($D82&gt;0,BB$6&gt;=$D82,BB$6&lt;=$E82),1,IF(AND($F82&gt;0,BB$6=$F82),"◆",""))</f>
        <v/>
      </c>
      <c r="BC82" s="78" t="str">
        <f>IF(AND($D82&gt;0,BC$6&gt;=$D82,BC$6&lt;=$E82),1,IF(AND($F82&gt;0,BC$6=$F82),"◆",""))</f>
        <v/>
      </c>
      <c r="BD82" s="78" t="str">
        <f>IF(AND($D82&gt;0,BD$6&gt;=$D82,BD$6&lt;=$E82),1,IF(AND($F82&gt;0,BD$6=$F82),"◆",""))</f>
        <v/>
      </c>
      <c r="BE82" s="78" t="str">
        <f>IF(AND($D82&gt;0,BE$6&gt;=$D82,BE$6&lt;=$E82),1,IF(AND($F82&gt;0,BE$6=$F82),"◆",""))</f>
        <v/>
      </c>
      <c r="BF82" s="78" t="str">
        <f>IF(AND($D82&gt;0,BF$6&gt;=$D82,BF$6&lt;=$E82),1,IF(AND($F82&gt;0,BF$6=$F82),"◆",""))</f>
        <v/>
      </c>
      <c r="BG82" s="78" t="str">
        <f>IF(AND($D82&gt;0,BG$6&gt;=$D82,BG$6&lt;=$E82),1,IF(AND($F82&gt;0,BG$6=$F82),"◆",""))</f>
        <v/>
      </c>
      <c r="BH82" s="78" t="str">
        <f>IF(AND($D82&gt;0,BH$6&gt;=$D82,BH$6&lt;=$E82),1,IF(AND($F82&gt;0,BH$6=$F82),"◆",""))</f>
        <v/>
      </c>
      <c r="BI82" s="78" t="str">
        <f>IF(AND($D82&gt;0,BI$6&gt;=$D82,BI$6&lt;=$E82),1,IF(AND($F82&gt;0,BI$6=$F82),"◆",""))</f>
        <v/>
      </c>
      <c r="BJ82" s="78" t="str">
        <f>IF(AND($D82&gt;0,BJ$6&gt;=$D82,BJ$6&lt;=$E82),1,IF(AND($F82&gt;0,BJ$6=$F82),"◆",""))</f>
        <v/>
      </c>
      <c r="BK82" s="78" t="str">
        <f>IF(AND($D82&gt;0,BK$6&gt;=$D82,BK$6&lt;=$E82),1,IF(AND($F82&gt;0,BK$6=$F82),"◆",""))</f>
        <v/>
      </c>
      <c r="BL82" s="78" t="str">
        <f>IF(AND($D82&gt;0,BL$6&gt;=$D82,BL$6&lt;=$E82),1,IF(AND($F82&gt;0,BL$6=$F82),"◆",""))</f>
        <v/>
      </c>
      <c r="BM82" s="78" t="str">
        <f>IF(AND($D82&gt;0,BM$6&gt;=$D82,BM$6&lt;=$E82),1,IF(AND($F82&gt;0,BM$6=$F82),"◆",""))</f>
        <v/>
      </c>
      <c r="BN82" s="78" t="str">
        <f>IF(AND($D82&gt;0,BN$6&gt;=$D82,BN$6&lt;=$E82),1,IF(AND($F82&gt;0,BN$6=$F82),"◆",""))</f>
        <v/>
      </c>
      <c r="BO82" s="78" t="str">
        <f>IF(AND($D82&gt;0,BO$6&gt;=$D82,BO$6&lt;=$E82),1,IF(AND($F82&gt;0,BO$6=$F82),"◆",""))</f>
        <v/>
      </c>
      <c r="BP82" s="78" t="str">
        <f>IF(AND($D82&gt;0,BP$6&gt;=$D82,BP$6&lt;=$E82),1,IF(AND($F82&gt;0,BP$6=$F82),"◆",""))</f>
        <v/>
      </c>
    </row>
    <row r="83">
      <c r="A83" s="75" t="str">
        <f>IF(INDEX(of_ref,77)="","",INDEX(of_num,77)&amp;"")</f>
        <v/>
      </c>
      <c r="B83" s="75" t="str">
        <f>IF(INDEX(of_ref,77)="","",INDEX(of_des,77)&amp;"")</f>
        <v/>
      </c>
      <c r="C83" s="76" t="str">
        <f>IF(INDEX(of_ref,77)="","",INDEX(of_poste,77)&amp;"")</f>
        <v/>
      </c>
      <c r="D83" s="77">
        <f>INDEX(of_start,77)</f>
        <v>0.0</v>
      </c>
      <c r="E83" s="77">
        <f>INDEX(of_end,77)</f>
        <v>0.0</v>
      </c>
      <c r="F83" s="77">
        <f>IF(N(INDEX(of_need,77))=0,0,INDEX(of_need,77))</f>
        <v>0.0</v>
      </c>
      <c r="G83" s="76" t="str">
        <f>IF(INDEX(of_ref,77)="","",INDEX(of_etat,77)&amp;"")</f>
        <v/>
      </c>
      <c r="I83" s="78" t="str">
        <f>IF(AND($D83&gt;0,I$6&gt;=$D83,I$6&lt;=$E83),1,IF(AND($F83&gt;0,I$6=$F83),"◆",""))</f>
        <v/>
      </c>
      <c r="J83" s="78" t="str">
        <f>IF(AND($D83&gt;0,J$6&gt;=$D83,J$6&lt;=$E83),1,IF(AND($F83&gt;0,J$6=$F83),"◆",""))</f>
        <v/>
      </c>
      <c r="K83" s="78" t="str">
        <f>IF(AND($D83&gt;0,K$6&gt;=$D83,K$6&lt;=$E83),1,IF(AND($F83&gt;0,K$6=$F83),"◆",""))</f>
        <v/>
      </c>
      <c r="L83" s="78" t="str">
        <f>IF(AND($D83&gt;0,L$6&gt;=$D83,L$6&lt;=$E83),1,IF(AND($F83&gt;0,L$6=$F83),"◆",""))</f>
        <v/>
      </c>
      <c r="M83" s="78" t="str">
        <f>IF(AND($D83&gt;0,M$6&gt;=$D83,M$6&lt;=$E83),1,IF(AND($F83&gt;0,M$6=$F83),"◆",""))</f>
        <v/>
      </c>
      <c r="N83" s="78" t="str">
        <f>IF(AND($D83&gt;0,N$6&gt;=$D83,N$6&lt;=$E83),1,IF(AND($F83&gt;0,N$6=$F83),"◆",""))</f>
        <v/>
      </c>
      <c r="O83" s="78" t="str">
        <f>IF(AND($D83&gt;0,O$6&gt;=$D83,O$6&lt;=$E83),1,IF(AND($F83&gt;0,O$6=$F83),"◆",""))</f>
        <v/>
      </c>
      <c r="P83" s="78" t="str">
        <f>IF(AND($D83&gt;0,P$6&gt;=$D83,P$6&lt;=$E83),1,IF(AND($F83&gt;0,P$6=$F83),"◆",""))</f>
        <v/>
      </c>
      <c r="Q83" s="78" t="str">
        <f>IF(AND($D83&gt;0,Q$6&gt;=$D83,Q$6&lt;=$E83),1,IF(AND($F83&gt;0,Q$6=$F83),"◆",""))</f>
        <v/>
      </c>
      <c r="R83" s="78" t="str">
        <f>IF(AND($D83&gt;0,R$6&gt;=$D83,R$6&lt;=$E83),1,IF(AND($F83&gt;0,R$6=$F83),"◆",""))</f>
        <v/>
      </c>
      <c r="S83" s="78" t="str">
        <f>IF(AND($D83&gt;0,S$6&gt;=$D83,S$6&lt;=$E83),1,IF(AND($F83&gt;0,S$6=$F83),"◆",""))</f>
        <v/>
      </c>
      <c r="T83" s="78" t="str">
        <f>IF(AND($D83&gt;0,T$6&gt;=$D83,T$6&lt;=$E83),1,IF(AND($F83&gt;0,T$6=$F83),"◆",""))</f>
        <v/>
      </c>
      <c r="U83" s="78" t="str">
        <f>IF(AND($D83&gt;0,U$6&gt;=$D83,U$6&lt;=$E83),1,IF(AND($F83&gt;0,U$6=$F83),"◆",""))</f>
        <v/>
      </c>
      <c r="V83" s="78" t="str">
        <f>IF(AND($D83&gt;0,V$6&gt;=$D83,V$6&lt;=$E83),1,IF(AND($F83&gt;0,V$6=$F83),"◆",""))</f>
        <v/>
      </c>
      <c r="W83" s="78" t="str">
        <f>IF(AND($D83&gt;0,W$6&gt;=$D83,W$6&lt;=$E83),1,IF(AND($F83&gt;0,W$6=$F83),"◆",""))</f>
        <v/>
      </c>
      <c r="X83" s="78" t="str">
        <f>IF(AND($D83&gt;0,X$6&gt;=$D83,X$6&lt;=$E83),1,IF(AND($F83&gt;0,X$6=$F83),"◆",""))</f>
        <v/>
      </c>
      <c r="Y83" s="78" t="str">
        <f>IF(AND($D83&gt;0,Y$6&gt;=$D83,Y$6&lt;=$E83),1,IF(AND($F83&gt;0,Y$6=$F83),"◆",""))</f>
        <v/>
      </c>
      <c r="Z83" s="78" t="str">
        <f>IF(AND($D83&gt;0,Z$6&gt;=$D83,Z$6&lt;=$E83),1,IF(AND($F83&gt;0,Z$6=$F83),"◆",""))</f>
        <v/>
      </c>
      <c r="AA83" s="78" t="str">
        <f>IF(AND($D83&gt;0,AA$6&gt;=$D83,AA$6&lt;=$E83),1,IF(AND($F83&gt;0,AA$6=$F83),"◆",""))</f>
        <v/>
      </c>
      <c r="AB83" s="78" t="str">
        <f>IF(AND($D83&gt;0,AB$6&gt;=$D83,AB$6&lt;=$E83),1,IF(AND($F83&gt;0,AB$6=$F83),"◆",""))</f>
        <v/>
      </c>
      <c r="AC83" s="78" t="str">
        <f>IF(AND($D83&gt;0,AC$6&gt;=$D83,AC$6&lt;=$E83),1,IF(AND($F83&gt;0,AC$6=$F83),"◆",""))</f>
        <v/>
      </c>
      <c r="AD83" s="78" t="str">
        <f>IF(AND($D83&gt;0,AD$6&gt;=$D83,AD$6&lt;=$E83),1,IF(AND($F83&gt;0,AD$6=$F83),"◆",""))</f>
        <v/>
      </c>
      <c r="AE83" s="78" t="str">
        <f>IF(AND($D83&gt;0,AE$6&gt;=$D83,AE$6&lt;=$E83),1,IF(AND($F83&gt;0,AE$6=$F83),"◆",""))</f>
        <v/>
      </c>
      <c r="AF83" s="78" t="str">
        <f>IF(AND($D83&gt;0,AF$6&gt;=$D83,AF$6&lt;=$E83),1,IF(AND($F83&gt;0,AF$6=$F83),"◆",""))</f>
        <v/>
      </c>
      <c r="AG83" s="78" t="str">
        <f>IF(AND($D83&gt;0,AG$6&gt;=$D83,AG$6&lt;=$E83),1,IF(AND($F83&gt;0,AG$6=$F83),"◆",""))</f>
        <v/>
      </c>
      <c r="AH83" s="78" t="str">
        <f>IF(AND($D83&gt;0,AH$6&gt;=$D83,AH$6&lt;=$E83),1,IF(AND($F83&gt;0,AH$6=$F83),"◆",""))</f>
        <v/>
      </c>
      <c r="AI83" s="78" t="str">
        <f>IF(AND($D83&gt;0,AI$6&gt;=$D83,AI$6&lt;=$E83),1,IF(AND($F83&gt;0,AI$6=$F83),"◆",""))</f>
        <v/>
      </c>
      <c r="AJ83" s="78" t="str">
        <f>IF(AND($D83&gt;0,AJ$6&gt;=$D83,AJ$6&lt;=$E83),1,IF(AND($F83&gt;0,AJ$6=$F83),"◆",""))</f>
        <v/>
      </c>
      <c r="AK83" s="78" t="str">
        <f>IF(AND($D83&gt;0,AK$6&gt;=$D83,AK$6&lt;=$E83),1,IF(AND($F83&gt;0,AK$6=$F83),"◆",""))</f>
        <v/>
      </c>
      <c r="AL83" s="78" t="str">
        <f>IF(AND($D83&gt;0,AL$6&gt;=$D83,AL$6&lt;=$E83),1,IF(AND($F83&gt;0,AL$6=$F83),"◆",""))</f>
        <v/>
      </c>
      <c r="AM83" s="78" t="str">
        <f>IF(AND($D83&gt;0,AM$6&gt;=$D83,AM$6&lt;=$E83),1,IF(AND($F83&gt;0,AM$6=$F83),"◆",""))</f>
        <v/>
      </c>
      <c r="AN83" s="78" t="str">
        <f>IF(AND($D83&gt;0,AN$6&gt;=$D83,AN$6&lt;=$E83),1,IF(AND($F83&gt;0,AN$6=$F83),"◆",""))</f>
        <v/>
      </c>
      <c r="AO83" s="78" t="str">
        <f>IF(AND($D83&gt;0,AO$6&gt;=$D83,AO$6&lt;=$E83),1,IF(AND($F83&gt;0,AO$6=$F83),"◆",""))</f>
        <v/>
      </c>
      <c r="AP83" s="78" t="str">
        <f>IF(AND($D83&gt;0,AP$6&gt;=$D83,AP$6&lt;=$E83),1,IF(AND($F83&gt;0,AP$6=$F83),"◆",""))</f>
        <v/>
      </c>
      <c r="AQ83" s="78" t="str">
        <f>IF(AND($D83&gt;0,AQ$6&gt;=$D83,AQ$6&lt;=$E83),1,IF(AND($F83&gt;0,AQ$6=$F83),"◆",""))</f>
        <v/>
      </c>
      <c r="AR83" s="78" t="str">
        <f>IF(AND($D83&gt;0,AR$6&gt;=$D83,AR$6&lt;=$E83),1,IF(AND($F83&gt;0,AR$6=$F83),"◆",""))</f>
        <v/>
      </c>
      <c r="AS83" s="78" t="str">
        <f>IF(AND($D83&gt;0,AS$6&gt;=$D83,AS$6&lt;=$E83),1,IF(AND($F83&gt;0,AS$6=$F83),"◆",""))</f>
        <v/>
      </c>
      <c r="AT83" s="78" t="str">
        <f>IF(AND($D83&gt;0,AT$6&gt;=$D83,AT$6&lt;=$E83),1,IF(AND($F83&gt;0,AT$6=$F83),"◆",""))</f>
        <v/>
      </c>
      <c r="AU83" s="78" t="str">
        <f>IF(AND($D83&gt;0,AU$6&gt;=$D83,AU$6&lt;=$E83),1,IF(AND($F83&gt;0,AU$6=$F83),"◆",""))</f>
        <v/>
      </c>
      <c r="AV83" s="78" t="str">
        <f>IF(AND($D83&gt;0,AV$6&gt;=$D83,AV$6&lt;=$E83),1,IF(AND($F83&gt;0,AV$6=$F83),"◆",""))</f>
        <v/>
      </c>
      <c r="AW83" s="78" t="str">
        <f>IF(AND($D83&gt;0,AW$6&gt;=$D83,AW$6&lt;=$E83),1,IF(AND($F83&gt;0,AW$6=$F83),"◆",""))</f>
        <v/>
      </c>
      <c r="AX83" s="78" t="str">
        <f>IF(AND($D83&gt;0,AX$6&gt;=$D83,AX$6&lt;=$E83),1,IF(AND($F83&gt;0,AX$6=$F83),"◆",""))</f>
        <v/>
      </c>
      <c r="AY83" s="78" t="str">
        <f>IF(AND($D83&gt;0,AY$6&gt;=$D83,AY$6&lt;=$E83),1,IF(AND($F83&gt;0,AY$6=$F83),"◆",""))</f>
        <v/>
      </c>
      <c r="AZ83" s="78" t="str">
        <f>IF(AND($D83&gt;0,AZ$6&gt;=$D83,AZ$6&lt;=$E83),1,IF(AND($F83&gt;0,AZ$6=$F83),"◆",""))</f>
        <v/>
      </c>
      <c r="BA83" s="78" t="str">
        <f>IF(AND($D83&gt;0,BA$6&gt;=$D83,BA$6&lt;=$E83),1,IF(AND($F83&gt;0,BA$6=$F83),"◆",""))</f>
        <v/>
      </c>
      <c r="BB83" s="78" t="str">
        <f>IF(AND($D83&gt;0,BB$6&gt;=$D83,BB$6&lt;=$E83),1,IF(AND($F83&gt;0,BB$6=$F83),"◆",""))</f>
        <v/>
      </c>
      <c r="BC83" s="78" t="str">
        <f>IF(AND($D83&gt;0,BC$6&gt;=$D83,BC$6&lt;=$E83),1,IF(AND($F83&gt;0,BC$6=$F83),"◆",""))</f>
        <v/>
      </c>
      <c r="BD83" s="78" t="str">
        <f>IF(AND($D83&gt;0,BD$6&gt;=$D83,BD$6&lt;=$E83),1,IF(AND($F83&gt;0,BD$6=$F83),"◆",""))</f>
        <v/>
      </c>
      <c r="BE83" s="78" t="str">
        <f>IF(AND($D83&gt;0,BE$6&gt;=$D83,BE$6&lt;=$E83),1,IF(AND($F83&gt;0,BE$6=$F83),"◆",""))</f>
        <v/>
      </c>
      <c r="BF83" s="78" t="str">
        <f>IF(AND($D83&gt;0,BF$6&gt;=$D83,BF$6&lt;=$E83),1,IF(AND($F83&gt;0,BF$6=$F83),"◆",""))</f>
        <v/>
      </c>
      <c r="BG83" s="78" t="str">
        <f>IF(AND($D83&gt;0,BG$6&gt;=$D83,BG$6&lt;=$E83),1,IF(AND($F83&gt;0,BG$6=$F83),"◆",""))</f>
        <v/>
      </c>
      <c r="BH83" s="78" t="str">
        <f>IF(AND($D83&gt;0,BH$6&gt;=$D83,BH$6&lt;=$E83),1,IF(AND($F83&gt;0,BH$6=$F83),"◆",""))</f>
        <v/>
      </c>
      <c r="BI83" s="78" t="str">
        <f>IF(AND($D83&gt;0,BI$6&gt;=$D83,BI$6&lt;=$E83),1,IF(AND($F83&gt;0,BI$6=$F83),"◆",""))</f>
        <v/>
      </c>
      <c r="BJ83" s="78" t="str">
        <f>IF(AND($D83&gt;0,BJ$6&gt;=$D83,BJ$6&lt;=$E83),1,IF(AND($F83&gt;0,BJ$6=$F83),"◆",""))</f>
        <v/>
      </c>
      <c r="BK83" s="78" t="str">
        <f>IF(AND($D83&gt;0,BK$6&gt;=$D83,BK$6&lt;=$E83),1,IF(AND($F83&gt;0,BK$6=$F83),"◆",""))</f>
        <v/>
      </c>
      <c r="BL83" s="78" t="str">
        <f>IF(AND($D83&gt;0,BL$6&gt;=$D83,BL$6&lt;=$E83),1,IF(AND($F83&gt;0,BL$6=$F83),"◆",""))</f>
        <v/>
      </c>
      <c r="BM83" s="78" t="str">
        <f>IF(AND($D83&gt;0,BM$6&gt;=$D83,BM$6&lt;=$E83),1,IF(AND($F83&gt;0,BM$6=$F83),"◆",""))</f>
        <v/>
      </c>
      <c r="BN83" s="78" t="str">
        <f>IF(AND($D83&gt;0,BN$6&gt;=$D83,BN$6&lt;=$E83),1,IF(AND($F83&gt;0,BN$6=$F83),"◆",""))</f>
        <v/>
      </c>
      <c r="BO83" s="78" t="str">
        <f>IF(AND($D83&gt;0,BO$6&gt;=$D83,BO$6&lt;=$E83),1,IF(AND($F83&gt;0,BO$6=$F83),"◆",""))</f>
        <v/>
      </c>
      <c r="BP83" s="78" t="str">
        <f>IF(AND($D83&gt;0,BP$6&gt;=$D83,BP$6&lt;=$E83),1,IF(AND($F83&gt;0,BP$6=$F83),"◆",""))</f>
        <v/>
      </c>
    </row>
    <row r="84">
      <c r="A84" s="75" t="str">
        <f>IF(INDEX(of_ref,78)="","",INDEX(of_num,78)&amp;"")</f>
        <v/>
      </c>
      <c r="B84" s="75" t="str">
        <f>IF(INDEX(of_ref,78)="","",INDEX(of_des,78)&amp;"")</f>
        <v/>
      </c>
      <c r="C84" s="76" t="str">
        <f>IF(INDEX(of_ref,78)="","",INDEX(of_poste,78)&amp;"")</f>
        <v/>
      </c>
      <c r="D84" s="77">
        <f>INDEX(of_start,78)</f>
        <v>0.0</v>
      </c>
      <c r="E84" s="77">
        <f>INDEX(of_end,78)</f>
        <v>0.0</v>
      </c>
      <c r="F84" s="77">
        <f>IF(N(INDEX(of_need,78))=0,0,INDEX(of_need,78))</f>
        <v>0.0</v>
      </c>
      <c r="G84" s="76" t="str">
        <f>IF(INDEX(of_ref,78)="","",INDEX(of_etat,78)&amp;"")</f>
        <v/>
      </c>
      <c r="I84" s="78" t="str">
        <f>IF(AND($D84&gt;0,I$6&gt;=$D84,I$6&lt;=$E84),1,IF(AND($F84&gt;0,I$6=$F84),"◆",""))</f>
        <v/>
      </c>
      <c r="J84" s="78" t="str">
        <f>IF(AND($D84&gt;0,J$6&gt;=$D84,J$6&lt;=$E84),1,IF(AND($F84&gt;0,J$6=$F84),"◆",""))</f>
        <v/>
      </c>
      <c r="K84" s="78" t="str">
        <f>IF(AND($D84&gt;0,K$6&gt;=$D84,K$6&lt;=$E84),1,IF(AND($F84&gt;0,K$6=$F84),"◆",""))</f>
        <v/>
      </c>
      <c r="L84" s="78" t="str">
        <f>IF(AND($D84&gt;0,L$6&gt;=$D84,L$6&lt;=$E84),1,IF(AND($F84&gt;0,L$6=$F84),"◆",""))</f>
        <v/>
      </c>
      <c r="M84" s="78" t="str">
        <f>IF(AND($D84&gt;0,M$6&gt;=$D84,M$6&lt;=$E84),1,IF(AND($F84&gt;0,M$6=$F84),"◆",""))</f>
        <v/>
      </c>
      <c r="N84" s="78" t="str">
        <f>IF(AND($D84&gt;0,N$6&gt;=$D84,N$6&lt;=$E84),1,IF(AND($F84&gt;0,N$6=$F84),"◆",""))</f>
        <v/>
      </c>
      <c r="O84" s="78" t="str">
        <f>IF(AND($D84&gt;0,O$6&gt;=$D84,O$6&lt;=$E84),1,IF(AND($F84&gt;0,O$6=$F84),"◆",""))</f>
        <v/>
      </c>
      <c r="P84" s="78" t="str">
        <f>IF(AND($D84&gt;0,P$6&gt;=$D84,P$6&lt;=$E84),1,IF(AND($F84&gt;0,P$6=$F84),"◆",""))</f>
        <v/>
      </c>
      <c r="Q84" s="78" t="str">
        <f>IF(AND($D84&gt;0,Q$6&gt;=$D84,Q$6&lt;=$E84),1,IF(AND($F84&gt;0,Q$6=$F84),"◆",""))</f>
        <v/>
      </c>
      <c r="R84" s="78" t="str">
        <f>IF(AND($D84&gt;0,R$6&gt;=$D84,R$6&lt;=$E84),1,IF(AND($F84&gt;0,R$6=$F84),"◆",""))</f>
        <v/>
      </c>
      <c r="S84" s="78" t="str">
        <f>IF(AND($D84&gt;0,S$6&gt;=$D84,S$6&lt;=$E84),1,IF(AND($F84&gt;0,S$6=$F84),"◆",""))</f>
        <v/>
      </c>
      <c r="T84" s="78" t="str">
        <f>IF(AND($D84&gt;0,T$6&gt;=$D84,T$6&lt;=$E84),1,IF(AND($F84&gt;0,T$6=$F84),"◆",""))</f>
        <v/>
      </c>
      <c r="U84" s="78" t="str">
        <f>IF(AND($D84&gt;0,U$6&gt;=$D84,U$6&lt;=$E84),1,IF(AND($F84&gt;0,U$6=$F84),"◆",""))</f>
        <v/>
      </c>
      <c r="V84" s="78" t="str">
        <f>IF(AND($D84&gt;0,V$6&gt;=$D84,V$6&lt;=$E84),1,IF(AND($F84&gt;0,V$6=$F84),"◆",""))</f>
        <v/>
      </c>
      <c r="W84" s="78" t="str">
        <f>IF(AND($D84&gt;0,W$6&gt;=$D84,W$6&lt;=$E84),1,IF(AND($F84&gt;0,W$6=$F84),"◆",""))</f>
        <v/>
      </c>
      <c r="X84" s="78" t="str">
        <f>IF(AND($D84&gt;0,X$6&gt;=$D84,X$6&lt;=$E84),1,IF(AND($F84&gt;0,X$6=$F84),"◆",""))</f>
        <v/>
      </c>
      <c r="Y84" s="78" t="str">
        <f>IF(AND($D84&gt;0,Y$6&gt;=$D84,Y$6&lt;=$E84),1,IF(AND($F84&gt;0,Y$6=$F84),"◆",""))</f>
        <v/>
      </c>
      <c r="Z84" s="78" t="str">
        <f>IF(AND($D84&gt;0,Z$6&gt;=$D84,Z$6&lt;=$E84),1,IF(AND($F84&gt;0,Z$6=$F84),"◆",""))</f>
        <v/>
      </c>
      <c r="AA84" s="78" t="str">
        <f>IF(AND($D84&gt;0,AA$6&gt;=$D84,AA$6&lt;=$E84),1,IF(AND($F84&gt;0,AA$6=$F84),"◆",""))</f>
        <v/>
      </c>
      <c r="AB84" s="78" t="str">
        <f>IF(AND($D84&gt;0,AB$6&gt;=$D84,AB$6&lt;=$E84),1,IF(AND($F84&gt;0,AB$6=$F84),"◆",""))</f>
        <v/>
      </c>
      <c r="AC84" s="78" t="str">
        <f>IF(AND($D84&gt;0,AC$6&gt;=$D84,AC$6&lt;=$E84),1,IF(AND($F84&gt;0,AC$6=$F84),"◆",""))</f>
        <v/>
      </c>
      <c r="AD84" s="78" t="str">
        <f>IF(AND($D84&gt;0,AD$6&gt;=$D84,AD$6&lt;=$E84),1,IF(AND($F84&gt;0,AD$6=$F84),"◆",""))</f>
        <v/>
      </c>
      <c r="AE84" s="78" t="str">
        <f>IF(AND($D84&gt;0,AE$6&gt;=$D84,AE$6&lt;=$E84),1,IF(AND($F84&gt;0,AE$6=$F84),"◆",""))</f>
        <v/>
      </c>
      <c r="AF84" s="78" t="str">
        <f>IF(AND($D84&gt;0,AF$6&gt;=$D84,AF$6&lt;=$E84),1,IF(AND($F84&gt;0,AF$6=$F84),"◆",""))</f>
        <v/>
      </c>
      <c r="AG84" s="78" t="str">
        <f>IF(AND($D84&gt;0,AG$6&gt;=$D84,AG$6&lt;=$E84),1,IF(AND($F84&gt;0,AG$6=$F84),"◆",""))</f>
        <v/>
      </c>
      <c r="AH84" s="78" t="str">
        <f>IF(AND($D84&gt;0,AH$6&gt;=$D84,AH$6&lt;=$E84),1,IF(AND($F84&gt;0,AH$6=$F84),"◆",""))</f>
        <v/>
      </c>
      <c r="AI84" s="78" t="str">
        <f>IF(AND($D84&gt;0,AI$6&gt;=$D84,AI$6&lt;=$E84),1,IF(AND($F84&gt;0,AI$6=$F84),"◆",""))</f>
        <v/>
      </c>
      <c r="AJ84" s="78" t="str">
        <f>IF(AND($D84&gt;0,AJ$6&gt;=$D84,AJ$6&lt;=$E84),1,IF(AND($F84&gt;0,AJ$6=$F84),"◆",""))</f>
        <v/>
      </c>
      <c r="AK84" s="78" t="str">
        <f>IF(AND($D84&gt;0,AK$6&gt;=$D84,AK$6&lt;=$E84),1,IF(AND($F84&gt;0,AK$6=$F84),"◆",""))</f>
        <v/>
      </c>
      <c r="AL84" s="78" t="str">
        <f>IF(AND($D84&gt;0,AL$6&gt;=$D84,AL$6&lt;=$E84),1,IF(AND($F84&gt;0,AL$6=$F84),"◆",""))</f>
        <v/>
      </c>
      <c r="AM84" s="78" t="str">
        <f>IF(AND($D84&gt;0,AM$6&gt;=$D84,AM$6&lt;=$E84),1,IF(AND($F84&gt;0,AM$6=$F84),"◆",""))</f>
        <v/>
      </c>
      <c r="AN84" s="78" t="str">
        <f>IF(AND($D84&gt;0,AN$6&gt;=$D84,AN$6&lt;=$E84),1,IF(AND($F84&gt;0,AN$6=$F84),"◆",""))</f>
        <v/>
      </c>
      <c r="AO84" s="78" t="str">
        <f>IF(AND($D84&gt;0,AO$6&gt;=$D84,AO$6&lt;=$E84),1,IF(AND($F84&gt;0,AO$6=$F84),"◆",""))</f>
        <v/>
      </c>
      <c r="AP84" s="78" t="str">
        <f>IF(AND($D84&gt;0,AP$6&gt;=$D84,AP$6&lt;=$E84),1,IF(AND($F84&gt;0,AP$6=$F84),"◆",""))</f>
        <v/>
      </c>
      <c r="AQ84" s="78" t="str">
        <f>IF(AND($D84&gt;0,AQ$6&gt;=$D84,AQ$6&lt;=$E84),1,IF(AND($F84&gt;0,AQ$6=$F84),"◆",""))</f>
        <v/>
      </c>
      <c r="AR84" s="78" t="str">
        <f>IF(AND($D84&gt;0,AR$6&gt;=$D84,AR$6&lt;=$E84),1,IF(AND($F84&gt;0,AR$6=$F84),"◆",""))</f>
        <v/>
      </c>
      <c r="AS84" s="78" t="str">
        <f>IF(AND($D84&gt;0,AS$6&gt;=$D84,AS$6&lt;=$E84),1,IF(AND($F84&gt;0,AS$6=$F84),"◆",""))</f>
        <v/>
      </c>
      <c r="AT84" s="78" t="str">
        <f>IF(AND($D84&gt;0,AT$6&gt;=$D84,AT$6&lt;=$E84),1,IF(AND($F84&gt;0,AT$6=$F84),"◆",""))</f>
        <v/>
      </c>
      <c r="AU84" s="78" t="str">
        <f>IF(AND($D84&gt;0,AU$6&gt;=$D84,AU$6&lt;=$E84),1,IF(AND($F84&gt;0,AU$6=$F84),"◆",""))</f>
        <v/>
      </c>
      <c r="AV84" s="78" t="str">
        <f>IF(AND($D84&gt;0,AV$6&gt;=$D84,AV$6&lt;=$E84),1,IF(AND($F84&gt;0,AV$6=$F84),"◆",""))</f>
        <v/>
      </c>
      <c r="AW84" s="78" t="str">
        <f>IF(AND($D84&gt;0,AW$6&gt;=$D84,AW$6&lt;=$E84),1,IF(AND($F84&gt;0,AW$6=$F84),"◆",""))</f>
        <v/>
      </c>
      <c r="AX84" s="78" t="str">
        <f>IF(AND($D84&gt;0,AX$6&gt;=$D84,AX$6&lt;=$E84),1,IF(AND($F84&gt;0,AX$6=$F84),"◆",""))</f>
        <v/>
      </c>
      <c r="AY84" s="78" t="str">
        <f>IF(AND($D84&gt;0,AY$6&gt;=$D84,AY$6&lt;=$E84),1,IF(AND($F84&gt;0,AY$6=$F84),"◆",""))</f>
        <v/>
      </c>
      <c r="AZ84" s="78" t="str">
        <f>IF(AND($D84&gt;0,AZ$6&gt;=$D84,AZ$6&lt;=$E84),1,IF(AND($F84&gt;0,AZ$6=$F84),"◆",""))</f>
        <v/>
      </c>
      <c r="BA84" s="78" t="str">
        <f>IF(AND($D84&gt;0,BA$6&gt;=$D84,BA$6&lt;=$E84),1,IF(AND($F84&gt;0,BA$6=$F84),"◆",""))</f>
        <v/>
      </c>
      <c r="BB84" s="78" t="str">
        <f>IF(AND($D84&gt;0,BB$6&gt;=$D84,BB$6&lt;=$E84),1,IF(AND($F84&gt;0,BB$6=$F84),"◆",""))</f>
        <v/>
      </c>
      <c r="BC84" s="78" t="str">
        <f>IF(AND($D84&gt;0,BC$6&gt;=$D84,BC$6&lt;=$E84),1,IF(AND($F84&gt;0,BC$6=$F84),"◆",""))</f>
        <v/>
      </c>
      <c r="BD84" s="78" t="str">
        <f>IF(AND($D84&gt;0,BD$6&gt;=$D84,BD$6&lt;=$E84),1,IF(AND($F84&gt;0,BD$6=$F84),"◆",""))</f>
        <v/>
      </c>
      <c r="BE84" s="78" t="str">
        <f>IF(AND($D84&gt;0,BE$6&gt;=$D84,BE$6&lt;=$E84),1,IF(AND($F84&gt;0,BE$6=$F84),"◆",""))</f>
        <v/>
      </c>
      <c r="BF84" s="78" t="str">
        <f>IF(AND($D84&gt;0,BF$6&gt;=$D84,BF$6&lt;=$E84),1,IF(AND($F84&gt;0,BF$6=$F84),"◆",""))</f>
        <v/>
      </c>
      <c r="BG84" s="78" t="str">
        <f>IF(AND($D84&gt;0,BG$6&gt;=$D84,BG$6&lt;=$E84),1,IF(AND($F84&gt;0,BG$6=$F84),"◆",""))</f>
        <v/>
      </c>
      <c r="BH84" s="78" t="str">
        <f>IF(AND($D84&gt;0,BH$6&gt;=$D84,BH$6&lt;=$E84),1,IF(AND($F84&gt;0,BH$6=$F84),"◆",""))</f>
        <v/>
      </c>
      <c r="BI84" s="78" t="str">
        <f>IF(AND($D84&gt;0,BI$6&gt;=$D84,BI$6&lt;=$E84),1,IF(AND($F84&gt;0,BI$6=$F84),"◆",""))</f>
        <v/>
      </c>
      <c r="BJ84" s="78" t="str">
        <f>IF(AND($D84&gt;0,BJ$6&gt;=$D84,BJ$6&lt;=$E84),1,IF(AND($F84&gt;0,BJ$6=$F84),"◆",""))</f>
        <v/>
      </c>
      <c r="BK84" s="78" t="str">
        <f>IF(AND($D84&gt;0,BK$6&gt;=$D84,BK$6&lt;=$E84),1,IF(AND($F84&gt;0,BK$6=$F84),"◆",""))</f>
        <v/>
      </c>
      <c r="BL84" s="78" t="str">
        <f>IF(AND($D84&gt;0,BL$6&gt;=$D84,BL$6&lt;=$E84),1,IF(AND($F84&gt;0,BL$6=$F84),"◆",""))</f>
        <v/>
      </c>
      <c r="BM84" s="78" t="str">
        <f>IF(AND($D84&gt;0,BM$6&gt;=$D84,BM$6&lt;=$E84),1,IF(AND($F84&gt;0,BM$6=$F84),"◆",""))</f>
        <v/>
      </c>
      <c r="BN84" s="78" t="str">
        <f>IF(AND($D84&gt;0,BN$6&gt;=$D84,BN$6&lt;=$E84),1,IF(AND($F84&gt;0,BN$6=$F84),"◆",""))</f>
        <v/>
      </c>
      <c r="BO84" s="78" t="str">
        <f>IF(AND($D84&gt;0,BO$6&gt;=$D84,BO$6&lt;=$E84),1,IF(AND($F84&gt;0,BO$6=$F84),"◆",""))</f>
        <v/>
      </c>
      <c r="BP84" s="78" t="str">
        <f>IF(AND($D84&gt;0,BP$6&gt;=$D84,BP$6&lt;=$E84),1,IF(AND($F84&gt;0,BP$6=$F84),"◆",""))</f>
        <v/>
      </c>
    </row>
    <row r="85">
      <c r="A85" s="75" t="str">
        <f>IF(INDEX(of_ref,79)="","",INDEX(of_num,79)&amp;"")</f>
        <v/>
      </c>
      <c r="B85" s="75" t="str">
        <f>IF(INDEX(of_ref,79)="","",INDEX(of_des,79)&amp;"")</f>
        <v/>
      </c>
      <c r="C85" s="76" t="str">
        <f>IF(INDEX(of_ref,79)="","",INDEX(of_poste,79)&amp;"")</f>
        <v/>
      </c>
      <c r="D85" s="77">
        <f>INDEX(of_start,79)</f>
        <v>0.0</v>
      </c>
      <c r="E85" s="77">
        <f>INDEX(of_end,79)</f>
        <v>0.0</v>
      </c>
      <c r="F85" s="77">
        <f>IF(N(INDEX(of_need,79))=0,0,INDEX(of_need,79))</f>
        <v>0.0</v>
      </c>
      <c r="G85" s="76" t="str">
        <f>IF(INDEX(of_ref,79)="","",INDEX(of_etat,79)&amp;"")</f>
        <v/>
      </c>
      <c r="I85" s="78" t="str">
        <f>IF(AND($D85&gt;0,I$6&gt;=$D85,I$6&lt;=$E85),1,IF(AND($F85&gt;0,I$6=$F85),"◆",""))</f>
        <v/>
      </c>
      <c r="J85" s="78" t="str">
        <f>IF(AND($D85&gt;0,J$6&gt;=$D85,J$6&lt;=$E85),1,IF(AND($F85&gt;0,J$6=$F85),"◆",""))</f>
        <v/>
      </c>
      <c r="K85" s="78" t="str">
        <f>IF(AND($D85&gt;0,K$6&gt;=$D85,K$6&lt;=$E85),1,IF(AND($F85&gt;0,K$6=$F85),"◆",""))</f>
        <v/>
      </c>
      <c r="L85" s="78" t="str">
        <f>IF(AND($D85&gt;0,L$6&gt;=$D85,L$6&lt;=$E85),1,IF(AND($F85&gt;0,L$6=$F85),"◆",""))</f>
        <v/>
      </c>
      <c r="M85" s="78" t="str">
        <f>IF(AND($D85&gt;0,M$6&gt;=$D85,M$6&lt;=$E85),1,IF(AND($F85&gt;0,M$6=$F85),"◆",""))</f>
        <v/>
      </c>
      <c r="N85" s="78" t="str">
        <f>IF(AND($D85&gt;0,N$6&gt;=$D85,N$6&lt;=$E85),1,IF(AND($F85&gt;0,N$6=$F85),"◆",""))</f>
        <v/>
      </c>
      <c r="O85" s="78" t="str">
        <f>IF(AND($D85&gt;0,O$6&gt;=$D85,O$6&lt;=$E85),1,IF(AND($F85&gt;0,O$6=$F85),"◆",""))</f>
        <v/>
      </c>
      <c r="P85" s="78" t="str">
        <f>IF(AND($D85&gt;0,P$6&gt;=$D85,P$6&lt;=$E85),1,IF(AND($F85&gt;0,P$6=$F85),"◆",""))</f>
        <v/>
      </c>
      <c r="Q85" s="78" t="str">
        <f>IF(AND($D85&gt;0,Q$6&gt;=$D85,Q$6&lt;=$E85),1,IF(AND($F85&gt;0,Q$6=$F85),"◆",""))</f>
        <v/>
      </c>
      <c r="R85" s="78" t="str">
        <f>IF(AND($D85&gt;0,R$6&gt;=$D85,R$6&lt;=$E85),1,IF(AND($F85&gt;0,R$6=$F85),"◆",""))</f>
        <v/>
      </c>
      <c r="S85" s="78" t="str">
        <f>IF(AND($D85&gt;0,S$6&gt;=$D85,S$6&lt;=$E85),1,IF(AND($F85&gt;0,S$6=$F85),"◆",""))</f>
        <v/>
      </c>
      <c r="T85" s="78" t="str">
        <f>IF(AND($D85&gt;0,T$6&gt;=$D85,T$6&lt;=$E85),1,IF(AND($F85&gt;0,T$6=$F85),"◆",""))</f>
        <v/>
      </c>
      <c r="U85" s="78" t="str">
        <f>IF(AND($D85&gt;0,U$6&gt;=$D85,U$6&lt;=$E85),1,IF(AND($F85&gt;0,U$6=$F85),"◆",""))</f>
        <v/>
      </c>
      <c r="V85" s="78" t="str">
        <f>IF(AND($D85&gt;0,V$6&gt;=$D85,V$6&lt;=$E85),1,IF(AND($F85&gt;0,V$6=$F85),"◆",""))</f>
        <v/>
      </c>
      <c r="W85" s="78" t="str">
        <f>IF(AND($D85&gt;0,W$6&gt;=$D85,W$6&lt;=$E85),1,IF(AND($F85&gt;0,W$6=$F85),"◆",""))</f>
        <v/>
      </c>
      <c r="X85" s="78" t="str">
        <f>IF(AND($D85&gt;0,X$6&gt;=$D85,X$6&lt;=$E85),1,IF(AND($F85&gt;0,X$6=$F85),"◆",""))</f>
        <v/>
      </c>
      <c r="Y85" s="78" t="str">
        <f>IF(AND($D85&gt;0,Y$6&gt;=$D85,Y$6&lt;=$E85),1,IF(AND($F85&gt;0,Y$6=$F85),"◆",""))</f>
        <v/>
      </c>
      <c r="Z85" s="78" t="str">
        <f>IF(AND($D85&gt;0,Z$6&gt;=$D85,Z$6&lt;=$E85),1,IF(AND($F85&gt;0,Z$6=$F85),"◆",""))</f>
        <v/>
      </c>
      <c r="AA85" s="78" t="str">
        <f>IF(AND($D85&gt;0,AA$6&gt;=$D85,AA$6&lt;=$E85),1,IF(AND($F85&gt;0,AA$6=$F85),"◆",""))</f>
        <v/>
      </c>
      <c r="AB85" s="78" t="str">
        <f>IF(AND($D85&gt;0,AB$6&gt;=$D85,AB$6&lt;=$E85),1,IF(AND($F85&gt;0,AB$6=$F85),"◆",""))</f>
        <v/>
      </c>
      <c r="AC85" s="78" t="str">
        <f>IF(AND($D85&gt;0,AC$6&gt;=$D85,AC$6&lt;=$E85),1,IF(AND($F85&gt;0,AC$6=$F85),"◆",""))</f>
        <v/>
      </c>
      <c r="AD85" s="78" t="str">
        <f>IF(AND($D85&gt;0,AD$6&gt;=$D85,AD$6&lt;=$E85),1,IF(AND($F85&gt;0,AD$6=$F85),"◆",""))</f>
        <v/>
      </c>
      <c r="AE85" s="78" t="str">
        <f>IF(AND($D85&gt;0,AE$6&gt;=$D85,AE$6&lt;=$E85),1,IF(AND($F85&gt;0,AE$6=$F85),"◆",""))</f>
        <v/>
      </c>
      <c r="AF85" s="78" t="str">
        <f>IF(AND($D85&gt;0,AF$6&gt;=$D85,AF$6&lt;=$E85),1,IF(AND($F85&gt;0,AF$6=$F85),"◆",""))</f>
        <v/>
      </c>
      <c r="AG85" s="78" t="str">
        <f>IF(AND($D85&gt;0,AG$6&gt;=$D85,AG$6&lt;=$E85),1,IF(AND($F85&gt;0,AG$6=$F85),"◆",""))</f>
        <v/>
      </c>
      <c r="AH85" s="78" t="str">
        <f>IF(AND($D85&gt;0,AH$6&gt;=$D85,AH$6&lt;=$E85),1,IF(AND($F85&gt;0,AH$6=$F85),"◆",""))</f>
        <v/>
      </c>
      <c r="AI85" s="78" t="str">
        <f>IF(AND($D85&gt;0,AI$6&gt;=$D85,AI$6&lt;=$E85),1,IF(AND($F85&gt;0,AI$6=$F85),"◆",""))</f>
        <v/>
      </c>
      <c r="AJ85" s="78" t="str">
        <f>IF(AND($D85&gt;0,AJ$6&gt;=$D85,AJ$6&lt;=$E85),1,IF(AND($F85&gt;0,AJ$6=$F85),"◆",""))</f>
        <v/>
      </c>
      <c r="AK85" s="78" t="str">
        <f>IF(AND($D85&gt;0,AK$6&gt;=$D85,AK$6&lt;=$E85),1,IF(AND($F85&gt;0,AK$6=$F85),"◆",""))</f>
        <v/>
      </c>
      <c r="AL85" s="78" t="str">
        <f>IF(AND($D85&gt;0,AL$6&gt;=$D85,AL$6&lt;=$E85),1,IF(AND($F85&gt;0,AL$6=$F85),"◆",""))</f>
        <v/>
      </c>
      <c r="AM85" s="78" t="str">
        <f>IF(AND($D85&gt;0,AM$6&gt;=$D85,AM$6&lt;=$E85),1,IF(AND($F85&gt;0,AM$6=$F85),"◆",""))</f>
        <v/>
      </c>
      <c r="AN85" s="78" t="str">
        <f>IF(AND($D85&gt;0,AN$6&gt;=$D85,AN$6&lt;=$E85),1,IF(AND($F85&gt;0,AN$6=$F85),"◆",""))</f>
        <v/>
      </c>
      <c r="AO85" s="78" t="str">
        <f>IF(AND($D85&gt;0,AO$6&gt;=$D85,AO$6&lt;=$E85),1,IF(AND($F85&gt;0,AO$6=$F85),"◆",""))</f>
        <v/>
      </c>
      <c r="AP85" s="78" t="str">
        <f>IF(AND($D85&gt;0,AP$6&gt;=$D85,AP$6&lt;=$E85),1,IF(AND($F85&gt;0,AP$6=$F85),"◆",""))</f>
        <v/>
      </c>
      <c r="AQ85" s="78" t="str">
        <f>IF(AND($D85&gt;0,AQ$6&gt;=$D85,AQ$6&lt;=$E85),1,IF(AND($F85&gt;0,AQ$6=$F85),"◆",""))</f>
        <v/>
      </c>
      <c r="AR85" s="78" t="str">
        <f>IF(AND($D85&gt;0,AR$6&gt;=$D85,AR$6&lt;=$E85),1,IF(AND($F85&gt;0,AR$6=$F85),"◆",""))</f>
        <v/>
      </c>
      <c r="AS85" s="78" t="str">
        <f>IF(AND($D85&gt;0,AS$6&gt;=$D85,AS$6&lt;=$E85),1,IF(AND($F85&gt;0,AS$6=$F85),"◆",""))</f>
        <v/>
      </c>
      <c r="AT85" s="78" t="str">
        <f>IF(AND($D85&gt;0,AT$6&gt;=$D85,AT$6&lt;=$E85),1,IF(AND($F85&gt;0,AT$6=$F85),"◆",""))</f>
        <v/>
      </c>
      <c r="AU85" s="78" t="str">
        <f>IF(AND($D85&gt;0,AU$6&gt;=$D85,AU$6&lt;=$E85),1,IF(AND($F85&gt;0,AU$6=$F85),"◆",""))</f>
        <v/>
      </c>
      <c r="AV85" s="78" t="str">
        <f>IF(AND($D85&gt;0,AV$6&gt;=$D85,AV$6&lt;=$E85),1,IF(AND($F85&gt;0,AV$6=$F85),"◆",""))</f>
        <v/>
      </c>
      <c r="AW85" s="78" t="str">
        <f>IF(AND($D85&gt;0,AW$6&gt;=$D85,AW$6&lt;=$E85),1,IF(AND($F85&gt;0,AW$6=$F85),"◆",""))</f>
        <v/>
      </c>
      <c r="AX85" s="78" t="str">
        <f>IF(AND($D85&gt;0,AX$6&gt;=$D85,AX$6&lt;=$E85),1,IF(AND($F85&gt;0,AX$6=$F85),"◆",""))</f>
        <v/>
      </c>
      <c r="AY85" s="78" t="str">
        <f>IF(AND($D85&gt;0,AY$6&gt;=$D85,AY$6&lt;=$E85),1,IF(AND($F85&gt;0,AY$6=$F85),"◆",""))</f>
        <v/>
      </c>
      <c r="AZ85" s="78" t="str">
        <f>IF(AND($D85&gt;0,AZ$6&gt;=$D85,AZ$6&lt;=$E85),1,IF(AND($F85&gt;0,AZ$6=$F85),"◆",""))</f>
        <v/>
      </c>
      <c r="BA85" s="78" t="str">
        <f>IF(AND($D85&gt;0,BA$6&gt;=$D85,BA$6&lt;=$E85),1,IF(AND($F85&gt;0,BA$6=$F85),"◆",""))</f>
        <v/>
      </c>
      <c r="BB85" s="78" t="str">
        <f>IF(AND($D85&gt;0,BB$6&gt;=$D85,BB$6&lt;=$E85),1,IF(AND($F85&gt;0,BB$6=$F85),"◆",""))</f>
        <v/>
      </c>
      <c r="BC85" s="78" t="str">
        <f>IF(AND($D85&gt;0,BC$6&gt;=$D85,BC$6&lt;=$E85),1,IF(AND($F85&gt;0,BC$6=$F85),"◆",""))</f>
        <v/>
      </c>
      <c r="BD85" s="78" t="str">
        <f>IF(AND($D85&gt;0,BD$6&gt;=$D85,BD$6&lt;=$E85),1,IF(AND($F85&gt;0,BD$6=$F85),"◆",""))</f>
        <v/>
      </c>
      <c r="BE85" s="78" t="str">
        <f>IF(AND($D85&gt;0,BE$6&gt;=$D85,BE$6&lt;=$E85),1,IF(AND($F85&gt;0,BE$6=$F85),"◆",""))</f>
        <v/>
      </c>
      <c r="BF85" s="78" t="str">
        <f>IF(AND($D85&gt;0,BF$6&gt;=$D85,BF$6&lt;=$E85),1,IF(AND($F85&gt;0,BF$6=$F85),"◆",""))</f>
        <v/>
      </c>
      <c r="BG85" s="78" t="str">
        <f>IF(AND($D85&gt;0,BG$6&gt;=$D85,BG$6&lt;=$E85),1,IF(AND($F85&gt;0,BG$6=$F85),"◆",""))</f>
        <v/>
      </c>
      <c r="BH85" s="78" t="str">
        <f>IF(AND($D85&gt;0,BH$6&gt;=$D85,BH$6&lt;=$E85),1,IF(AND($F85&gt;0,BH$6=$F85),"◆",""))</f>
        <v/>
      </c>
      <c r="BI85" s="78" t="str">
        <f>IF(AND($D85&gt;0,BI$6&gt;=$D85,BI$6&lt;=$E85),1,IF(AND($F85&gt;0,BI$6=$F85),"◆",""))</f>
        <v/>
      </c>
      <c r="BJ85" s="78" t="str">
        <f>IF(AND($D85&gt;0,BJ$6&gt;=$D85,BJ$6&lt;=$E85),1,IF(AND($F85&gt;0,BJ$6=$F85),"◆",""))</f>
        <v/>
      </c>
      <c r="BK85" s="78" t="str">
        <f>IF(AND($D85&gt;0,BK$6&gt;=$D85,BK$6&lt;=$E85),1,IF(AND($F85&gt;0,BK$6=$F85),"◆",""))</f>
        <v/>
      </c>
      <c r="BL85" s="78" t="str">
        <f>IF(AND($D85&gt;0,BL$6&gt;=$D85,BL$6&lt;=$E85),1,IF(AND($F85&gt;0,BL$6=$F85),"◆",""))</f>
        <v/>
      </c>
      <c r="BM85" s="78" t="str">
        <f>IF(AND($D85&gt;0,BM$6&gt;=$D85,BM$6&lt;=$E85),1,IF(AND($F85&gt;0,BM$6=$F85),"◆",""))</f>
        <v/>
      </c>
      <c r="BN85" s="78" t="str">
        <f>IF(AND($D85&gt;0,BN$6&gt;=$D85,BN$6&lt;=$E85),1,IF(AND($F85&gt;0,BN$6=$F85),"◆",""))</f>
        <v/>
      </c>
      <c r="BO85" s="78" t="str">
        <f>IF(AND($D85&gt;0,BO$6&gt;=$D85,BO$6&lt;=$E85),1,IF(AND($F85&gt;0,BO$6=$F85),"◆",""))</f>
        <v/>
      </c>
      <c r="BP85" s="78" t="str">
        <f>IF(AND($D85&gt;0,BP$6&gt;=$D85,BP$6&lt;=$E85),1,IF(AND($F85&gt;0,BP$6=$F85),"◆",""))</f>
        <v/>
      </c>
    </row>
    <row r="86">
      <c r="A86" s="75" t="str">
        <f>IF(INDEX(of_ref,80)="","",INDEX(of_num,80)&amp;"")</f>
        <v/>
      </c>
      <c r="B86" s="75" t="str">
        <f>IF(INDEX(of_ref,80)="","",INDEX(of_des,80)&amp;"")</f>
        <v/>
      </c>
      <c r="C86" s="76" t="str">
        <f>IF(INDEX(of_ref,80)="","",INDEX(of_poste,80)&amp;"")</f>
        <v/>
      </c>
      <c r="D86" s="77">
        <f>INDEX(of_start,80)</f>
        <v>0.0</v>
      </c>
      <c r="E86" s="77">
        <f>INDEX(of_end,80)</f>
        <v>0.0</v>
      </c>
      <c r="F86" s="77">
        <f>IF(N(INDEX(of_need,80))=0,0,INDEX(of_need,80))</f>
        <v>0.0</v>
      </c>
      <c r="G86" s="76" t="str">
        <f>IF(INDEX(of_ref,80)="","",INDEX(of_etat,80)&amp;"")</f>
        <v/>
      </c>
      <c r="I86" s="78" t="str">
        <f>IF(AND($D86&gt;0,I$6&gt;=$D86,I$6&lt;=$E86),1,IF(AND($F86&gt;0,I$6=$F86),"◆",""))</f>
        <v/>
      </c>
      <c r="J86" s="78" t="str">
        <f>IF(AND($D86&gt;0,J$6&gt;=$D86,J$6&lt;=$E86),1,IF(AND($F86&gt;0,J$6=$F86),"◆",""))</f>
        <v/>
      </c>
      <c r="K86" s="78" t="str">
        <f>IF(AND($D86&gt;0,K$6&gt;=$D86,K$6&lt;=$E86),1,IF(AND($F86&gt;0,K$6=$F86),"◆",""))</f>
        <v/>
      </c>
      <c r="L86" s="78" t="str">
        <f>IF(AND($D86&gt;0,L$6&gt;=$D86,L$6&lt;=$E86),1,IF(AND($F86&gt;0,L$6=$F86),"◆",""))</f>
        <v/>
      </c>
      <c r="M86" s="78" t="str">
        <f>IF(AND($D86&gt;0,M$6&gt;=$D86,M$6&lt;=$E86),1,IF(AND($F86&gt;0,M$6=$F86),"◆",""))</f>
        <v/>
      </c>
      <c r="N86" s="78" t="str">
        <f>IF(AND($D86&gt;0,N$6&gt;=$D86,N$6&lt;=$E86),1,IF(AND($F86&gt;0,N$6=$F86),"◆",""))</f>
        <v/>
      </c>
      <c r="O86" s="78" t="str">
        <f>IF(AND($D86&gt;0,O$6&gt;=$D86,O$6&lt;=$E86),1,IF(AND($F86&gt;0,O$6=$F86),"◆",""))</f>
        <v/>
      </c>
      <c r="P86" s="78" t="str">
        <f>IF(AND($D86&gt;0,P$6&gt;=$D86,P$6&lt;=$E86),1,IF(AND($F86&gt;0,P$6=$F86),"◆",""))</f>
        <v/>
      </c>
      <c r="Q86" s="78" t="str">
        <f>IF(AND($D86&gt;0,Q$6&gt;=$D86,Q$6&lt;=$E86),1,IF(AND($F86&gt;0,Q$6=$F86),"◆",""))</f>
        <v/>
      </c>
      <c r="R86" s="78" t="str">
        <f>IF(AND($D86&gt;0,R$6&gt;=$D86,R$6&lt;=$E86),1,IF(AND($F86&gt;0,R$6=$F86),"◆",""))</f>
        <v/>
      </c>
      <c r="S86" s="78" t="str">
        <f>IF(AND($D86&gt;0,S$6&gt;=$D86,S$6&lt;=$E86),1,IF(AND($F86&gt;0,S$6=$F86),"◆",""))</f>
        <v/>
      </c>
      <c r="T86" s="78" t="str">
        <f>IF(AND($D86&gt;0,T$6&gt;=$D86,T$6&lt;=$E86),1,IF(AND($F86&gt;0,T$6=$F86),"◆",""))</f>
        <v/>
      </c>
      <c r="U86" s="78" t="str">
        <f>IF(AND($D86&gt;0,U$6&gt;=$D86,U$6&lt;=$E86),1,IF(AND($F86&gt;0,U$6=$F86),"◆",""))</f>
        <v/>
      </c>
      <c r="V86" s="78" t="str">
        <f>IF(AND($D86&gt;0,V$6&gt;=$D86,V$6&lt;=$E86),1,IF(AND($F86&gt;0,V$6=$F86),"◆",""))</f>
        <v/>
      </c>
      <c r="W86" s="78" t="str">
        <f>IF(AND($D86&gt;0,W$6&gt;=$D86,W$6&lt;=$E86),1,IF(AND($F86&gt;0,W$6=$F86),"◆",""))</f>
        <v/>
      </c>
      <c r="X86" s="78" t="str">
        <f>IF(AND($D86&gt;0,X$6&gt;=$D86,X$6&lt;=$E86),1,IF(AND($F86&gt;0,X$6=$F86),"◆",""))</f>
        <v/>
      </c>
      <c r="Y86" s="78" t="str">
        <f>IF(AND($D86&gt;0,Y$6&gt;=$D86,Y$6&lt;=$E86),1,IF(AND($F86&gt;0,Y$6=$F86),"◆",""))</f>
        <v/>
      </c>
      <c r="Z86" s="78" t="str">
        <f>IF(AND($D86&gt;0,Z$6&gt;=$D86,Z$6&lt;=$E86),1,IF(AND($F86&gt;0,Z$6=$F86),"◆",""))</f>
        <v/>
      </c>
      <c r="AA86" s="78" t="str">
        <f>IF(AND($D86&gt;0,AA$6&gt;=$D86,AA$6&lt;=$E86),1,IF(AND($F86&gt;0,AA$6=$F86),"◆",""))</f>
        <v/>
      </c>
      <c r="AB86" s="78" t="str">
        <f>IF(AND($D86&gt;0,AB$6&gt;=$D86,AB$6&lt;=$E86),1,IF(AND($F86&gt;0,AB$6=$F86),"◆",""))</f>
        <v/>
      </c>
      <c r="AC86" s="78" t="str">
        <f>IF(AND($D86&gt;0,AC$6&gt;=$D86,AC$6&lt;=$E86),1,IF(AND($F86&gt;0,AC$6=$F86),"◆",""))</f>
        <v/>
      </c>
      <c r="AD86" s="78" t="str">
        <f>IF(AND($D86&gt;0,AD$6&gt;=$D86,AD$6&lt;=$E86),1,IF(AND($F86&gt;0,AD$6=$F86),"◆",""))</f>
        <v/>
      </c>
      <c r="AE86" s="78" t="str">
        <f>IF(AND($D86&gt;0,AE$6&gt;=$D86,AE$6&lt;=$E86),1,IF(AND($F86&gt;0,AE$6=$F86),"◆",""))</f>
        <v/>
      </c>
      <c r="AF86" s="78" t="str">
        <f>IF(AND($D86&gt;0,AF$6&gt;=$D86,AF$6&lt;=$E86),1,IF(AND($F86&gt;0,AF$6=$F86),"◆",""))</f>
        <v/>
      </c>
      <c r="AG86" s="78" t="str">
        <f>IF(AND($D86&gt;0,AG$6&gt;=$D86,AG$6&lt;=$E86),1,IF(AND($F86&gt;0,AG$6=$F86),"◆",""))</f>
        <v/>
      </c>
      <c r="AH86" s="78" t="str">
        <f>IF(AND($D86&gt;0,AH$6&gt;=$D86,AH$6&lt;=$E86),1,IF(AND($F86&gt;0,AH$6=$F86),"◆",""))</f>
        <v/>
      </c>
      <c r="AI86" s="78" t="str">
        <f>IF(AND($D86&gt;0,AI$6&gt;=$D86,AI$6&lt;=$E86),1,IF(AND($F86&gt;0,AI$6=$F86),"◆",""))</f>
        <v/>
      </c>
      <c r="AJ86" s="78" t="str">
        <f>IF(AND($D86&gt;0,AJ$6&gt;=$D86,AJ$6&lt;=$E86),1,IF(AND($F86&gt;0,AJ$6=$F86),"◆",""))</f>
        <v/>
      </c>
      <c r="AK86" s="78" t="str">
        <f>IF(AND($D86&gt;0,AK$6&gt;=$D86,AK$6&lt;=$E86),1,IF(AND($F86&gt;0,AK$6=$F86),"◆",""))</f>
        <v/>
      </c>
      <c r="AL86" s="78" t="str">
        <f>IF(AND($D86&gt;0,AL$6&gt;=$D86,AL$6&lt;=$E86),1,IF(AND($F86&gt;0,AL$6=$F86),"◆",""))</f>
        <v/>
      </c>
      <c r="AM86" s="78" t="str">
        <f>IF(AND($D86&gt;0,AM$6&gt;=$D86,AM$6&lt;=$E86),1,IF(AND($F86&gt;0,AM$6=$F86),"◆",""))</f>
        <v/>
      </c>
      <c r="AN86" s="78" t="str">
        <f>IF(AND($D86&gt;0,AN$6&gt;=$D86,AN$6&lt;=$E86),1,IF(AND($F86&gt;0,AN$6=$F86),"◆",""))</f>
        <v/>
      </c>
      <c r="AO86" s="78" t="str">
        <f>IF(AND($D86&gt;0,AO$6&gt;=$D86,AO$6&lt;=$E86),1,IF(AND($F86&gt;0,AO$6=$F86),"◆",""))</f>
        <v/>
      </c>
      <c r="AP86" s="78" t="str">
        <f>IF(AND($D86&gt;0,AP$6&gt;=$D86,AP$6&lt;=$E86),1,IF(AND($F86&gt;0,AP$6=$F86),"◆",""))</f>
        <v/>
      </c>
      <c r="AQ86" s="78" t="str">
        <f>IF(AND($D86&gt;0,AQ$6&gt;=$D86,AQ$6&lt;=$E86),1,IF(AND($F86&gt;0,AQ$6=$F86),"◆",""))</f>
        <v/>
      </c>
      <c r="AR86" s="78" t="str">
        <f>IF(AND($D86&gt;0,AR$6&gt;=$D86,AR$6&lt;=$E86),1,IF(AND($F86&gt;0,AR$6=$F86),"◆",""))</f>
        <v/>
      </c>
      <c r="AS86" s="78" t="str">
        <f>IF(AND($D86&gt;0,AS$6&gt;=$D86,AS$6&lt;=$E86),1,IF(AND($F86&gt;0,AS$6=$F86),"◆",""))</f>
        <v/>
      </c>
      <c r="AT86" s="78" t="str">
        <f>IF(AND($D86&gt;0,AT$6&gt;=$D86,AT$6&lt;=$E86),1,IF(AND($F86&gt;0,AT$6=$F86),"◆",""))</f>
        <v/>
      </c>
      <c r="AU86" s="78" t="str">
        <f>IF(AND($D86&gt;0,AU$6&gt;=$D86,AU$6&lt;=$E86),1,IF(AND($F86&gt;0,AU$6=$F86),"◆",""))</f>
        <v/>
      </c>
      <c r="AV86" s="78" t="str">
        <f>IF(AND($D86&gt;0,AV$6&gt;=$D86,AV$6&lt;=$E86),1,IF(AND($F86&gt;0,AV$6=$F86),"◆",""))</f>
        <v/>
      </c>
      <c r="AW86" s="78" t="str">
        <f>IF(AND($D86&gt;0,AW$6&gt;=$D86,AW$6&lt;=$E86),1,IF(AND($F86&gt;0,AW$6=$F86),"◆",""))</f>
        <v/>
      </c>
      <c r="AX86" s="78" t="str">
        <f>IF(AND($D86&gt;0,AX$6&gt;=$D86,AX$6&lt;=$E86),1,IF(AND($F86&gt;0,AX$6=$F86),"◆",""))</f>
        <v/>
      </c>
      <c r="AY86" s="78" t="str">
        <f>IF(AND($D86&gt;0,AY$6&gt;=$D86,AY$6&lt;=$E86),1,IF(AND($F86&gt;0,AY$6=$F86),"◆",""))</f>
        <v/>
      </c>
      <c r="AZ86" s="78" t="str">
        <f>IF(AND($D86&gt;0,AZ$6&gt;=$D86,AZ$6&lt;=$E86),1,IF(AND($F86&gt;0,AZ$6=$F86),"◆",""))</f>
        <v/>
      </c>
      <c r="BA86" s="78" t="str">
        <f>IF(AND($D86&gt;0,BA$6&gt;=$D86,BA$6&lt;=$E86),1,IF(AND($F86&gt;0,BA$6=$F86),"◆",""))</f>
        <v/>
      </c>
      <c r="BB86" s="78" t="str">
        <f>IF(AND($D86&gt;0,BB$6&gt;=$D86,BB$6&lt;=$E86),1,IF(AND($F86&gt;0,BB$6=$F86),"◆",""))</f>
        <v/>
      </c>
      <c r="BC86" s="78" t="str">
        <f>IF(AND($D86&gt;0,BC$6&gt;=$D86,BC$6&lt;=$E86),1,IF(AND($F86&gt;0,BC$6=$F86),"◆",""))</f>
        <v/>
      </c>
      <c r="BD86" s="78" t="str">
        <f>IF(AND($D86&gt;0,BD$6&gt;=$D86,BD$6&lt;=$E86),1,IF(AND($F86&gt;0,BD$6=$F86),"◆",""))</f>
        <v/>
      </c>
      <c r="BE86" s="78" t="str">
        <f>IF(AND($D86&gt;0,BE$6&gt;=$D86,BE$6&lt;=$E86),1,IF(AND($F86&gt;0,BE$6=$F86),"◆",""))</f>
        <v/>
      </c>
      <c r="BF86" s="78" t="str">
        <f>IF(AND($D86&gt;0,BF$6&gt;=$D86,BF$6&lt;=$E86),1,IF(AND($F86&gt;0,BF$6=$F86),"◆",""))</f>
        <v/>
      </c>
      <c r="BG86" s="78" t="str">
        <f>IF(AND($D86&gt;0,BG$6&gt;=$D86,BG$6&lt;=$E86),1,IF(AND($F86&gt;0,BG$6=$F86),"◆",""))</f>
        <v/>
      </c>
      <c r="BH86" s="78" t="str">
        <f>IF(AND($D86&gt;0,BH$6&gt;=$D86,BH$6&lt;=$E86),1,IF(AND($F86&gt;0,BH$6=$F86),"◆",""))</f>
        <v/>
      </c>
      <c r="BI86" s="78" t="str">
        <f>IF(AND($D86&gt;0,BI$6&gt;=$D86,BI$6&lt;=$E86),1,IF(AND($F86&gt;0,BI$6=$F86),"◆",""))</f>
        <v/>
      </c>
      <c r="BJ86" s="78" t="str">
        <f>IF(AND($D86&gt;0,BJ$6&gt;=$D86,BJ$6&lt;=$E86),1,IF(AND($F86&gt;0,BJ$6=$F86),"◆",""))</f>
        <v/>
      </c>
      <c r="BK86" s="78" t="str">
        <f>IF(AND($D86&gt;0,BK$6&gt;=$D86,BK$6&lt;=$E86),1,IF(AND($F86&gt;0,BK$6=$F86),"◆",""))</f>
        <v/>
      </c>
      <c r="BL86" s="78" t="str">
        <f>IF(AND($D86&gt;0,BL$6&gt;=$D86,BL$6&lt;=$E86),1,IF(AND($F86&gt;0,BL$6=$F86),"◆",""))</f>
        <v/>
      </c>
      <c r="BM86" s="78" t="str">
        <f>IF(AND($D86&gt;0,BM$6&gt;=$D86,BM$6&lt;=$E86),1,IF(AND($F86&gt;0,BM$6=$F86),"◆",""))</f>
        <v/>
      </c>
      <c r="BN86" s="78" t="str">
        <f>IF(AND($D86&gt;0,BN$6&gt;=$D86,BN$6&lt;=$E86),1,IF(AND($F86&gt;0,BN$6=$F86),"◆",""))</f>
        <v/>
      </c>
      <c r="BO86" s="78" t="str">
        <f>IF(AND($D86&gt;0,BO$6&gt;=$D86,BO$6&lt;=$E86),1,IF(AND($F86&gt;0,BO$6=$F86),"◆",""))</f>
        <v/>
      </c>
      <c r="BP86" s="78" t="str">
        <f>IF(AND($D86&gt;0,BP$6&gt;=$D86,BP$6&lt;=$E86),1,IF(AND($F86&gt;0,BP$6=$F86),"◆",""))</f>
        <v/>
      </c>
    </row>
    <row r="87">
      <c r="A87" s="75" t="str">
        <f>IF(INDEX(of_ref,81)="","",INDEX(of_num,81)&amp;"")</f>
        <v/>
      </c>
      <c r="B87" s="75" t="str">
        <f>IF(INDEX(of_ref,81)="","",INDEX(of_des,81)&amp;"")</f>
        <v/>
      </c>
      <c r="C87" s="76" t="str">
        <f>IF(INDEX(of_ref,81)="","",INDEX(of_poste,81)&amp;"")</f>
        <v/>
      </c>
      <c r="D87" s="77">
        <f>INDEX(of_start,81)</f>
        <v>0.0</v>
      </c>
      <c r="E87" s="77">
        <f>INDEX(of_end,81)</f>
        <v>0.0</v>
      </c>
      <c r="F87" s="77">
        <f>IF(N(INDEX(of_need,81))=0,0,INDEX(of_need,81))</f>
        <v>0.0</v>
      </c>
      <c r="G87" s="76" t="str">
        <f>IF(INDEX(of_ref,81)="","",INDEX(of_etat,81)&amp;"")</f>
        <v/>
      </c>
      <c r="I87" s="78" t="str">
        <f>IF(AND($D87&gt;0,I$6&gt;=$D87,I$6&lt;=$E87),1,IF(AND($F87&gt;0,I$6=$F87),"◆",""))</f>
        <v/>
      </c>
      <c r="J87" s="78" t="str">
        <f>IF(AND($D87&gt;0,J$6&gt;=$D87,J$6&lt;=$E87),1,IF(AND($F87&gt;0,J$6=$F87),"◆",""))</f>
        <v/>
      </c>
      <c r="K87" s="78" t="str">
        <f>IF(AND($D87&gt;0,K$6&gt;=$D87,K$6&lt;=$E87),1,IF(AND($F87&gt;0,K$6=$F87),"◆",""))</f>
        <v/>
      </c>
      <c r="L87" s="78" t="str">
        <f>IF(AND($D87&gt;0,L$6&gt;=$D87,L$6&lt;=$E87),1,IF(AND($F87&gt;0,L$6=$F87),"◆",""))</f>
        <v/>
      </c>
      <c r="M87" s="78" t="str">
        <f>IF(AND($D87&gt;0,M$6&gt;=$D87,M$6&lt;=$E87),1,IF(AND($F87&gt;0,M$6=$F87),"◆",""))</f>
        <v/>
      </c>
      <c r="N87" s="78" t="str">
        <f>IF(AND($D87&gt;0,N$6&gt;=$D87,N$6&lt;=$E87),1,IF(AND($F87&gt;0,N$6=$F87),"◆",""))</f>
        <v/>
      </c>
      <c r="O87" s="78" t="str">
        <f>IF(AND($D87&gt;0,O$6&gt;=$D87,O$6&lt;=$E87),1,IF(AND($F87&gt;0,O$6=$F87),"◆",""))</f>
        <v/>
      </c>
      <c r="P87" s="78" t="str">
        <f>IF(AND($D87&gt;0,P$6&gt;=$D87,P$6&lt;=$E87),1,IF(AND($F87&gt;0,P$6=$F87),"◆",""))</f>
        <v/>
      </c>
      <c r="Q87" s="78" t="str">
        <f>IF(AND($D87&gt;0,Q$6&gt;=$D87,Q$6&lt;=$E87),1,IF(AND($F87&gt;0,Q$6=$F87),"◆",""))</f>
        <v/>
      </c>
      <c r="R87" s="78" t="str">
        <f>IF(AND($D87&gt;0,R$6&gt;=$D87,R$6&lt;=$E87),1,IF(AND($F87&gt;0,R$6=$F87),"◆",""))</f>
        <v/>
      </c>
      <c r="S87" s="78" t="str">
        <f>IF(AND($D87&gt;0,S$6&gt;=$D87,S$6&lt;=$E87),1,IF(AND($F87&gt;0,S$6=$F87),"◆",""))</f>
        <v/>
      </c>
      <c r="T87" s="78" t="str">
        <f>IF(AND($D87&gt;0,T$6&gt;=$D87,T$6&lt;=$E87),1,IF(AND($F87&gt;0,T$6=$F87),"◆",""))</f>
        <v/>
      </c>
      <c r="U87" s="78" t="str">
        <f>IF(AND($D87&gt;0,U$6&gt;=$D87,U$6&lt;=$E87),1,IF(AND($F87&gt;0,U$6=$F87),"◆",""))</f>
        <v/>
      </c>
      <c r="V87" s="78" t="str">
        <f>IF(AND($D87&gt;0,V$6&gt;=$D87,V$6&lt;=$E87),1,IF(AND($F87&gt;0,V$6=$F87),"◆",""))</f>
        <v/>
      </c>
      <c r="W87" s="78" t="str">
        <f>IF(AND($D87&gt;0,W$6&gt;=$D87,W$6&lt;=$E87),1,IF(AND($F87&gt;0,W$6=$F87),"◆",""))</f>
        <v/>
      </c>
      <c r="X87" s="78" t="str">
        <f>IF(AND($D87&gt;0,X$6&gt;=$D87,X$6&lt;=$E87),1,IF(AND($F87&gt;0,X$6=$F87),"◆",""))</f>
        <v/>
      </c>
      <c r="Y87" s="78" t="str">
        <f>IF(AND($D87&gt;0,Y$6&gt;=$D87,Y$6&lt;=$E87),1,IF(AND($F87&gt;0,Y$6=$F87),"◆",""))</f>
        <v/>
      </c>
      <c r="Z87" s="78" t="str">
        <f>IF(AND($D87&gt;0,Z$6&gt;=$D87,Z$6&lt;=$E87),1,IF(AND($F87&gt;0,Z$6=$F87),"◆",""))</f>
        <v/>
      </c>
      <c r="AA87" s="78" t="str">
        <f>IF(AND($D87&gt;0,AA$6&gt;=$D87,AA$6&lt;=$E87),1,IF(AND($F87&gt;0,AA$6=$F87),"◆",""))</f>
        <v/>
      </c>
      <c r="AB87" s="78" t="str">
        <f>IF(AND($D87&gt;0,AB$6&gt;=$D87,AB$6&lt;=$E87),1,IF(AND($F87&gt;0,AB$6=$F87),"◆",""))</f>
        <v/>
      </c>
      <c r="AC87" s="78" t="str">
        <f>IF(AND($D87&gt;0,AC$6&gt;=$D87,AC$6&lt;=$E87),1,IF(AND($F87&gt;0,AC$6=$F87),"◆",""))</f>
        <v/>
      </c>
      <c r="AD87" s="78" t="str">
        <f>IF(AND($D87&gt;0,AD$6&gt;=$D87,AD$6&lt;=$E87),1,IF(AND($F87&gt;0,AD$6=$F87),"◆",""))</f>
        <v/>
      </c>
      <c r="AE87" s="78" t="str">
        <f>IF(AND($D87&gt;0,AE$6&gt;=$D87,AE$6&lt;=$E87),1,IF(AND($F87&gt;0,AE$6=$F87),"◆",""))</f>
        <v/>
      </c>
      <c r="AF87" s="78" t="str">
        <f>IF(AND($D87&gt;0,AF$6&gt;=$D87,AF$6&lt;=$E87),1,IF(AND($F87&gt;0,AF$6=$F87),"◆",""))</f>
        <v/>
      </c>
      <c r="AG87" s="78" t="str">
        <f>IF(AND($D87&gt;0,AG$6&gt;=$D87,AG$6&lt;=$E87),1,IF(AND($F87&gt;0,AG$6=$F87),"◆",""))</f>
        <v/>
      </c>
      <c r="AH87" s="78" t="str">
        <f>IF(AND($D87&gt;0,AH$6&gt;=$D87,AH$6&lt;=$E87),1,IF(AND($F87&gt;0,AH$6=$F87),"◆",""))</f>
        <v/>
      </c>
      <c r="AI87" s="78" t="str">
        <f>IF(AND($D87&gt;0,AI$6&gt;=$D87,AI$6&lt;=$E87),1,IF(AND($F87&gt;0,AI$6=$F87),"◆",""))</f>
        <v/>
      </c>
      <c r="AJ87" s="78" t="str">
        <f>IF(AND($D87&gt;0,AJ$6&gt;=$D87,AJ$6&lt;=$E87),1,IF(AND($F87&gt;0,AJ$6=$F87),"◆",""))</f>
        <v/>
      </c>
      <c r="AK87" s="78" t="str">
        <f>IF(AND($D87&gt;0,AK$6&gt;=$D87,AK$6&lt;=$E87),1,IF(AND($F87&gt;0,AK$6=$F87),"◆",""))</f>
        <v/>
      </c>
      <c r="AL87" s="78" t="str">
        <f>IF(AND($D87&gt;0,AL$6&gt;=$D87,AL$6&lt;=$E87),1,IF(AND($F87&gt;0,AL$6=$F87),"◆",""))</f>
        <v/>
      </c>
      <c r="AM87" s="78" t="str">
        <f>IF(AND($D87&gt;0,AM$6&gt;=$D87,AM$6&lt;=$E87),1,IF(AND($F87&gt;0,AM$6=$F87),"◆",""))</f>
        <v/>
      </c>
      <c r="AN87" s="78" t="str">
        <f>IF(AND($D87&gt;0,AN$6&gt;=$D87,AN$6&lt;=$E87),1,IF(AND($F87&gt;0,AN$6=$F87),"◆",""))</f>
        <v/>
      </c>
      <c r="AO87" s="78" t="str">
        <f>IF(AND($D87&gt;0,AO$6&gt;=$D87,AO$6&lt;=$E87),1,IF(AND($F87&gt;0,AO$6=$F87),"◆",""))</f>
        <v/>
      </c>
      <c r="AP87" s="78" t="str">
        <f>IF(AND($D87&gt;0,AP$6&gt;=$D87,AP$6&lt;=$E87),1,IF(AND($F87&gt;0,AP$6=$F87),"◆",""))</f>
        <v/>
      </c>
      <c r="AQ87" s="78" t="str">
        <f>IF(AND($D87&gt;0,AQ$6&gt;=$D87,AQ$6&lt;=$E87),1,IF(AND($F87&gt;0,AQ$6=$F87),"◆",""))</f>
        <v/>
      </c>
      <c r="AR87" s="78" t="str">
        <f>IF(AND($D87&gt;0,AR$6&gt;=$D87,AR$6&lt;=$E87),1,IF(AND($F87&gt;0,AR$6=$F87),"◆",""))</f>
        <v/>
      </c>
      <c r="AS87" s="78" t="str">
        <f>IF(AND($D87&gt;0,AS$6&gt;=$D87,AS$6&lt;=$E87),1,IF(AND($F87&gt;0,AS$6=$F87),"◆",""))</f>
        <v/>
      </c>
      <c r="AT87" s="78" t="str">
        <f>IF(AND($D87&gt;0,AT$6&gt;=$D87,AT$6&lt;=$E87),1,IF(AND($F87&gt;0,AT$6=$F87),"◆",""))</f>
        <v/>
      </c>
      <c r="AU87" s="78" t="str">
        <f>IF(AND($D87&gt;0,AU$6&gt;=$D87,AU$6&lt;=$E87),1,IF(AND($F87&gt;0,AU$6=$F87),"◆",""))</f>
        <v/>
      </c>
      <c r="AV87" s="78" t="str">
        <f>IF(AND($D87&gt;0,AV$6&gt;=$D87,AV$6&lt;=$E87),1,IF(AND($F87&gt;0,AV$6=$F87),"◆",""))</f>
        <v/>
      </c>
      <c r="AW87" s="78" t="str">
        <f>IF(AND($D87&gt;0,AW$6&gt;=$D87,AW$6&lt;=$E87),1,IF(AND($F87&gt;0,AW$6=$F87),"◆",""))</f>
        <v/>
      </c>
      <c r="AX87" s="78" t="str">
        <f>IF(AND($D87&gt;0,AX$6&gt;=$D87,AX$6&lt;=$E87),1,IF(AND($F87&gt;0,AX$6=$F87),"◆",""))</f>
        <v/>
      </c>
      <c r="AY87" s="78" t="str">
        <f>IF(AND($D87&gt;0,AY$6&gt;=$D87,AY$6&lt;=$E87),1,IF(AND($F87&gt;0,AY$6=$F87),"◆",""))</f>
        <v/>
      </c>
      <c r="AZ87" s="78" t="str">
        <f>IF(AND($D87&gt;0,AZ$6&gt;=$D87,AZ$6&lt;=$E87),1,IF(AND($F87&gt;0,AZ$6=$F87),"◆",""))</f>
        <v/>
      </c>
      <c r="BA87" s="78" t="str">
        <f>IF(AND($D87&gt;0,BA$6&gt;=$D87,BA$6&lt;=$E87),1,IF(AND($F87&gt;0,BA$6=$F87),"◆",""))</f>
        <v/>
      </c>
      <c r="BB87" s="78" t="str">
        <f>IF(AND($D87&gt;0,BB$6&gt;=$D87,BB$6&lt;=$E87),1,IF(AND($F87&gt;0,BB$6=$F87),"◆",""))</f>
        <v/>
      </c>
      <c r="BC87" s="78" t="str">
        <f>IF(AND($D87&gt;0,BC$6&gt;=$D87,BC$6&lt;=$E87),1,IF(AND($F87&gt;0,BC$6=$F87),"◆",""))</f>
        <v/>
      </c>
      <c r="BD87" s="78" t="str">
        <f>IF(AND($D87&gt;0,BD$6&gt;=$D87,BD$6&lt;=$E87),1,IF(AND($F87&gt;0,BD$6=$F87),"◆",""))</f>
        <v/>
      </c>
      <c r="BE87" s="78" t="str">
        <f>IF(AND($D87&gt;0,BE$6&gt;=$D87,BE$6&lt;=$E87),1,IF(AND($F87&gt;0,BE$6=$F87),"◆",""))</f>
        <v/>
      </c>
      <c r="BF87" s="78" t="str">
        <f>IF(AND($D87&gt;0,BF$6&gt;=$D87,BF$6&lt;=$E87),1,IF(AND($F87&gt;0,BF$6=$F87),"◆",""))</f>
        <v/>
      </c>
      <c r="BG87" s="78" t="str">
        <f>IF(AND($D87&gt;0,BG$6&gt;=$D87,BG$6&lt;=$E87),1,IF(AND($F87&gt;0,BG$6=$F87),"◆",""))</f>
        <v/>
      </c>
      <c r="BH87" s="78" t="str">
        <f>IF(AND($D87&gt;0,BH$6&gt;=$D87,BH$6&lt;=$E87),1,IF(AND($F87&gt;0,BH$6=$F87),"◆",""))</f>
        <v/>
      </c>
      <c r="BI87" s="78" t="str">
        <f>IF(AND($D87&gt;0,BI$6&gt;=$D87,BI$6&lt;=$E87),1,IF(AND($F87&gt;0,BI$6=$F87),"◆",""))</f>
        <v/>
      </c>
      <c r="BJ87" s="78" t="str">
        <f>IF(AND($D87&gt;0,BJ$6&gt;=$D87,BJ$6&lt;=$E87),1,IF(AND($F87&gt;0,BJ$6=$F87),"◆",""))</f>
        <v/>
      </c>
      <c r="BK87" s="78" t="str">
        <f>IF(AND($D87&gt;0,BK$6&gt;=$D87,BK$6&lt;=$E87),1,IF(AND($F87&gt;0,BK$6=$F87),"◆",""))</f>
        <v/>
      </c>
      <c r="BL87" s="78" t="str">
        <f>IF(AND($D87&gt;0,BL$6&gt;=$D87,BL$6&lt;=$E87),1,IF(AND($F87&gt;0,BL$6=$F87),"◆",""))</f>
        <v/>
      </c>
      <c r="BM87" s="78" t="str">
        <f>IF(AND($D87&gt;0,BM$6&gt;=$D87,BM$6&lt;=$E87),1,IF(AND($F87&gt;0,BM$6=$F87),"◆",""))</f>
        <v/>
      </c>
      <c r="BN87" s="78" t="str">
        <f>IF(AND($D87&gt;0,BN$6&gt;=$D87,BN$6&lt;=$E87),1,IF(AND($F87&gt;0,BN$6=$F87),"◆",""))</f>
        <v/>
      </c>
      <c r="BO87" s="78" t="str">
        <f>IF(AND($D87&gt;0,BO$6&gt;=$D87,BO$6&lt;=$E87),1,IF(AND($F87&gt;0,BO$6=$F87),"◆",""))</f>
        <v/>
      </c>
      <c r="BP87" s="78" t="str">
        <f>IF(AND($D87&gt;0,BP$6&gt;=$D87,BP$6&lt;=$E87),1,IF(AND($F87&gt;0,BP$6=$F87),"◆",""))</f>
        <v/>
      </c>
    </row>
    <row r="88">
      <c r="A88" s="75" t="str">
        <f>IF(INDEX(of_ref,82)="","",INDEX(of_num,82)&amp;"")</f>
        <v/>
      </c>
      <c r="B88" s="75" t="str">
        <f>IF(INDEX(of_ref,82)="","",INDEX(of_des,82)&amp;"")</f>
        <v/>
      </c>
      <c r="C88" s="76" t="str">
        <f>IF(INDEX(of_ref,82)="","",INDEX(of_poste,82)&amp;"")</f>
        <v/>
      </c>
      <c r="D88" s="77">
        <f>INDEX(of_start,82)</f>
        <v>0.0</v>
      </c>
      <c r="E88" s="77">
        <f>INDEX(of_end,82)</f>
        <v>0.0</v>
      </c>
      <c r="F88" s="77">
        <f>IF(N(INDEX(of_need,82))=0,0,INDEX(of_need,82))</f>
        <v>0.0</v>
      </c>
      <c r="G88" s="76" t="str">
        <f>IF(INDEX(of_ref,82)="","",INDEX(of_etat,82)&amp;"")</f>
        <v/>
      </c>
      <c r="I88" s="78" t="str">
        <f>IF(AND($D88&gt;0,I$6&gt;=$D88,I$6&lt;=$E88),1,IF(AND($F88&gt;0,I$6=$F88),"◆",""))</f>
        <v/>
      </c>
      <c r="J88" s="78" t="str">
        <f>IF(AND($D88&gt;0,J$6&gt;=$D88,J$6&lt;=$E88),1,IF(AND($F88&gt;0,J$6=$F88),"◆",""))</f>
        <v/>
      </c>
      <c r="K88" s="78" t="str">
        <f>IF(AND($D88&gt;0,K$6&gt;=$D88,K$6&lt;=$E88),1,IF(AND($F88&gt;0,K$6=$F88),"◆",""))</f>
        <v/>
      </c>
      <c r="L88" s="78" t="str">
        <f>IF(AND($D88&gt;0,L$6&gt;=$D88,L$6&lt;=$E88),1,IF(AND($F88&gt;0,L$6=$F88),"◆",""))</f>
        <v/>
      </c>
      <c r="M88" s="78" t="str">
        <f>IF(AND($D88&gt;0,M$6&gt;=$D88,M$6&lt;=$E88),1,IF(AND($F88&gt;0,M$6=$F88),"◆",""))</f>
        <v/>
      </c>
      <c r="N88" s="78" t="str">
        <f>IF(AND($D88&gt;0,N$6&gt;=$D88,N$6&lt;=$E88),1,IF(AND($F88&gt;0,N$6=$F88),"◆",""))</f>
        <v/>
      </c>
      <c r="O88" s="78" t="str">
        <f>IF(AND($D88&gt;0,O$6&gt;=$D88,O$6&lt;=$E88),1,IF(AND($F88&gt;0,O$6=$F88),"◆",""))</f>
        <v/>
      </c>
      <c r="P88" s="78" t="str">
        <f>IF(AND($D88&gt;0,P$6&gt;=$D88,P$6&lt;=$E88),1,IF(AND($F88&gt;0,P$6=$F88),"◆",""))</f>
        <v/>
      </c>
      <c r="Q88" s="78" t="str">
        <f>IF(AND($D88&gt;0,Q$6&gt;=$D88,Q$6&lt;=$E88),1,IF(AND($F88&gt;0,Q$6=$F88),"◆",""))</f>
        <v/>
      </c>
      <c r="R88" s="78" t="str">
        <f>IF(AND($D88&gt;0,R$6&gt;=$D88,R$6&lt;=$E88),1,IF(AND($F88&gt;0,R$6=$F88),"◆",""))</f>
        <v/>
      </c>
      <c r="S88" s="78" t="str">
        <f>IF(AND($D88&gt;0,S$6&gt;=$D88,S$6&lt;=$E88),1,IF(AND($F88&gt;0,S$6=$F88),"◆",""))</f>
        <v/>
      </c>
      <c r="T88" s="78" t="str">
        <f>IF(AND($D88&gt;0,T$6&gt;=$D88,T$6&lt;=$E88),1,IF(AND($F88&gt;0,T$6=$F88),"◆",""))</f>
        <v/>
      </c>
      <c r="U88" s="78" t="str">
        <f>IF(AND($D88&gt;0,U$6&gt;=$D88,U$6&lt;=$E88),1,IF(AND($F88&gt;0,U$6=$F88),"◆",""))</f>
        <v/>
      </c>
      <c r="V88" s="78" t="str">
        <f>IF(AND($D88&gt;0,V$6&gt;=$D88,V$6&lt;=$E88),1,IF(AND($F88&gt;0,V$6=$F88),"◆",""))</f>
        <v/>
      </c>
      <c r="W88" s="78" t="str">
        <f>IF(AND($D88&gt;0,W$6&gt;=$D88,W$6&lt;=$E88),1,IF(AND($F88&gt;0,W$6=$F88),"◆",""))</f>
        <v/>
      </c>
      <c r="X88" s="78" t="str">
        <f>IF(AND($D88&gt;0,X$6&gt;=$D88,X$6&lt;=$E88),1,IF(AND($F88&gt;0,X$6=$F88),"◆",""))</f>
        <v/>
      </c>
      <c r="Y88" s="78" t="str">
        <f>IF(AND($D88&gt;0,Y$6&gt;=$D88,Y$6&lt;=$E88),1,IF(AND($F88&gt;0,Y$6=$F88),"◆",""))</f>
        <v/>
      </c>
      <c r="Z88" s="78" t="str">
        <f>IF(AND($D88&gt;0,Z$6&gt;=$D88,Z$6&lt;=$E88),1,IF(AND($F88&gt;0,Z$6=$F88),"◆",""))</f>
        <v/>
      </c>
      <c r="AA88" s="78" t="str">
        <f>IF(AND($D88&gt;0,AA$6&gt;=$D88,AA$6&lt;=$E88),1,IF(AND($F88&gt;0,AA$6=$F88),"◆",""))</f>
        <v/>
      </c>
      <c r="AB88" s="78" t="str">
        <f>IF(AND($D88&gt;0,AB$6&gt;=$D88,AB$6&lt;=$E88),1,IF(AND($F88&gt;0,AB$6=$F88),"◆",""))</f>
        <v/>
      </c>
      <c r="AC88" s="78" t="str">
        <f>IF(AND($D88&gt;0,AC$6&gt;=$D88,AC$6&lt;=$E88),1,IF(AND($F88&gt;0,AC$6=$F88),"◆",""))</f>
        <v/>
      </c>
      <c r="AD88" s="78" t="str">
        <f>IF(AND($D88&gt;0,AD$6&gt;=$D88,AD$6&lt;=$E88),1,IF(AND($F88&gt;0,AD$6=$F88),"◆",""))</f>
        <v/>
      </c>
      <c r="AE88" s="78" t="str">
        <f>IF(AND($D88&gt;0,AE$6&gt;=$D88,AE$6&lt;=$E88),1,IF(AND($F88&gt;0,AE$6=$F88),"◆",""))</f>
        <v/>
      </c>
      <c r="AF88" s="78" t="str">
        <f>IF(AND($D88&gt;0,AF$6&gt;=$D88,AF$6&lt;=$E88),1,IF(AND($F88&gt;0,AF$6=$F88),"◆",""))</f>
        <v/>
      </c>
      <c r="AG88" s="78" t="str">
        <f>IF(AND($D88&gt;0,AG$6&gt;=$D88,AG$6&lt;=$E88),1,IF(AND($F88&gt;0,AG$6=$F88),"◆",""))</f>
        <v/>
      </c>
      <c r="AH88" s="78" t="str">
        <f>IF(AND($D88&gt;0,AH$6&gt;=$D88,AH$6&lt;=$E88),1,IF(AND($F88&gt;0,AH$6=$F88),"◆",""))</f>
        <v/>
      </c>
      <c r="AI88" s="78" t="str">
        <f>IF(AND($D88&gt;0,AI$6&gt;=$D88,AI$6&lt;=$E88),1,IF(AND($F88&gt;0,AI$6=$F88),"◆",""))</f>
        <v/>
      </c>
      <c r="AJ88" s="78" t="str">
        <f>IF(AND($D88&gt;0,AJ$6&gt;=$D88,AJ$6&lt;=$E88),1,IF(AND($F88&gt;0,AJ$6=$F88),"◆",""))</f>
        <v/>
      </c>
      <c r="AK88" s="78" t="str">
        <f>IF(AND($D88&gt;0,AK$6&gt;=$D88,AK$6&lt;=$E88),1,IF(AND($F88&gt;0,AK$6=$F88),"◆",""))</f>
        <v/>
      </c>
      <c r="AL88" s="78" t="str">
        <f>IF(AND($D88&gt;0,AL$6&gt;=$D88,AL$6&lt;=$E88),1,IF(AND($F88&gt;0,AL$6=$F88),"◆",""))</f>
        <v/>
      </c>
      <c r="AM88" s="78" t="str">
        <f>IF(AND($D88&gt;0,AM$6&gt;=$D88,AM$6&lt;=$E88),1,IF(AND($F88&gt;0,AM$6=$F88),"◆",""))</f>
        <v/>
      </c>
      <c r="AN88" s="78" t="str">
        <f>IF(AND($D88&gt;0,AN$6&gt;=$D88,AN$6&lt;=$E88),1,IF(AND($F88&gt;0,AN$6=$F88),"◆",""))</f>
        <v/>
      </c>
      <c r="AO88" s="78" t="str">
        <f>IF(AND($D88&gt;0,AO$6&gt;=$D88,AO$6&lt;=$E88),1,IF(AND($F88&gt;0,AO$6=$F88),"◆",""))</f>
        <v/>
      </c>
      <c r="AP88" s="78" t="str">
        <f>IF(AND($D88&gt;0,AP$6&gt;=$D88,AP$6&lt;=$E88),1,IF(AND($F88&gt;0,AP$6=$F88),"◆",""))</f>
        <v/>
      </c>
      <c r="AQ88" s="78" t="str">
        <f>IF(AND($D88&gt;0,AQ$6&gt;=$D88,AQ$6&lt;=$E88),1,IF(AND($F88&gt;0,AQ$6=$F88),"◆",""))</f>
        <v/>
      </c>
      <c r="AR88" s="78" t="str">
        <f>IF(AND($D88&gt;0,AR$6&gt;=$D88,AR$6&lt;=$E88),1,IF(AND($F88&gt;0,AR$6=$F88),"◆",""))</f>
        <v/>
      </c>
      <c r="AS88" s="78" t="str">
        <f>IF(AND($D88&gt;0,AS$6&gt;=$D88,AS$6&lt;=$E88),1,IF(AND($F88&gt;0,AS$6=$F88),"◆",""))</f>
        <v/>
      </c>
      <c r="AT88" s="78" t="str">
        <f>IF(AND($D88&gt;0,AT$6&gt;=$D88,AT$6&lt;=$E88),1,IF(AND($F88&gt;0,AT$6=$F88),"◆",""))</f>
        <v/>
      </c>
      <c r="AU88" s="78" t="str">
        <f>IF(AND($D88&gt;0,AU$6&gt;=$D88,AU$6&lt;=$E88),1,IF(AND($F88&gt;0,AU$6=$F88),"◆",""))</f>
        <v/>
      </c>
      <c r="AV88" s="78" t="str">
        <f>IF(AND($D88&gt;0,AV$6&gt;=$D88,AV$6&lt;=$E88),1,IF(AND($F88&gt;0,AV$6=$F88),"◆",""))</f>
        <v/>
      </c>
      <c r="AW88" s="78" t="str">
        <f>IF(AND($D88&gt;0,AW$6&gt;=$D88,AW$6&lt;=$E88),1,IF(AND($F88&gt;0,AW$6=$F88),"◆",""))</f>
        <v/>
      </c>
      <c r="AX88" s="78" t="str">
        <f>IF(AND($D88&gt;0,AX$6&gt;=$D88,AX$6&lt;=$E88),1,IF(AND($F88&gt;0,AX$6=$F88),"◆",""))</f>
        <v/>
      </c>
      <c r="AY88" s="78" t="str">
        <f>IF(AND($D88&gt;0,AY$6&gt;=$D88,AY$6&lt;=$E88),1,IF(AND($F88&gt;0,AY$6=$F88),"◆",""))</f>
        <v/>
      </c>
      <c r="AZ88" s="78" t="str">
        <f>IF(AND($D88&gt;0,AZ$6&gt;=$D88,AZ$6&lt;=$E88),1,IF(AND($F88&gt;0,AZ$6=$F88),"◆",""))</f>
        <v/>
      </c>
      <c r="BA88" s="78" t="str">
        <f>IF(AND($D88&gt;0,BA$6&gt;=$D88,BA$6&lt;=$E88),1,IF(AND($F88&gt;0,BA$6=$F88),"◆",""))</f>
        <v/>
      </c>
      <c r="BB88" s="78" t="str">
        <f>IF(AND($D88&gt;0,BB$6&gt;=$D88,BB$6&lt;=$E88),1,IF(AND($F88&gt;0,BB$6=$F88),"◆",""))</f>
        <v/>
      </c>
      <c r="BC88" s="78" t="str">
        <f>IF(AND($D88&gt;0,BC$6&gt;=$D88,BC$6&lt;=$E88),1,IF(AND($F88&gt;0,BC$6=$F88),"◆",""))</f>
        <v/>
      </c>
      <c r="BD88" s="78" t="str">
        <f>IF(AND($D88&gt;0,BD$6&gt;=$D88,BD$6&lt;=$E88),1,IF(AND($F88&gt;0,BD$6=$F88),"◆",""))</f>
        <v/>
      </c>
      <c r="BE88" s="78" t="str">
        <f>IF(AND($D88&gt;0,BE$6&gt;=$D88,BE$6&lt;=$E88),1,IF(AND($F88&gt;0,BE$6=$F88),"◆",""))</f>
        <v/>
      </c>
      <c r="BF88" s="78" t="str">
        <f>IF(AND($D88&gt;0,BF$6&gt;=$D88,BF$6&lt;=$E88),1,IF(AND($F88&gt;0,BF$6=$F88),"◆",""))</f>
        <v/>
      </c>
      <c r="BG88" s="78" t="str">
        <f>IF(AND($D88&gt;0,BG$6&gt;=$D88,BG$6&lt;=$E88),1,IF(AND($F88&gt;0,BG$6=$F88),"◆",""))</f>
        <v/>
      </c>
      <c r="BH88" s="78" t="str">
        <f>IF(AND($D88&gt;0,BH$6&gt;=$D88,BH$6&lt;=$E88),1,IF(AND($F88&gt;0,BH$6=$F88),"◆",""))</f>
        <v/>
      </c>
      <c r="BI88" s="78" t="str">
        <f>IF(AND($D88&gt;0,BI$6&gt;=$D88,BI$6&lt;=$E88),1,IF(AND($F88&gt;0,BI$6=$F88),"◆",""))</f>
        <v/>
      </c>
      <c r="BJ88" s="78" t="str">
        <f>IF(AND($D88&gt;0,BJ$6&gt;=$D88,BJ$6&lt;=$E88),1,IF(AND($F88&gt;0,BJ$6=$F88),"◆",""))</f>
        <v/>
      </c>
      <c r="BK88" s="78" t="str">
        <f>IF(AND($D88&gt;0,BK$6&gt;=$D88,BK$6&lt;=$E88),1,IF(AND($F88&gt;0,BK$6=$F88),"◆",""))</f>
        <v/>
      </c>
      <c r="BL88" s="78" t="str">
        <f>IF(AND($D88&gt;0,BL$6&gt;=$D88,BL$6&lt;=$E88),1,IF(AND($F88&gt;0,BL$6=$F88),"◆",""))</f>
        <v/>
      </c>
      <c r="BM88" s="78" t="str">
        <f>IF(AND($D88&gt;0,BM$6&gt;=$D88,BM$6&lt;=$E88),1,IF(AND($F88&gt;0,BM$6=$F88),"◆",""))</f>
        <v/>
      </c>
      <c r="BN88" s="78" t="str">
        <f>IF(AND($D88&gt;0,BN$6&gt;=$D88,BN$6&lt;=$E88),1,IF(AND($F88&gt;0,BN$6=$F88),"◆",""))</f>
        <v/>
      </c>
      <c r="BO88" s="78" t="str">
        <f>IF(AND($D88&gt;0,BO$6&gt;=$D88,BO$6&lt;=$E88),1,IF(AND($F88&gt;0,BO$6=$F88),"◆",""))</f>
        <v/>
      </c>
      <c r="BP88" s="78" t="str">
        <f>IF(AND($D88&gt;0,BP$6&gt;=$D88,BP$6&lt;=$E88),1,IF(AND($F88&gt;0,BP$6=$F88),"◆",""))</f>
        <v/>
      </c>
    </row>
    <row r="89">
      <c r="A89" s="75" t="str">
        <f>IF(INDEX(of_ref,83)="","",INDEX(of_num,83)&amp;"")</f>
        <v/>
      </c>
      <c r="B89" s="75" t="str">
        <f>IF(INDEX(of_ref,83)="","",INDEX(of_des,83)&amp;"")</f>
        <v/>
      </c>
      <c r="C89" s="76" t="str">
        <f>IF(INDEX(of_ref,83)="","",INDEX(of_poste,83)&amp;"")</f>
        <v/>
      </c>
      <c r="D89" s="77">
        <f>INDEX(of_start,83)</f>
        <v>0.0</v>
      </c>
      <c r="E89" s="77">
        <f>INDEX(of_end,83)</f>
        <v>0.0</v>
      </c>
      <c r="F89" s="77">
        <f>IF(N(INDEX(of_need,83))=0,0,INDEX(of_need,83))</f>
        <v>0.0</v>
      </c>
      <c r="G89" s="76" t="str">
        <f>IF(INDEX(of_ref,83)="","",INDEX(of_etat,83)&amp;"")</f>
        <v/>
      </c>
      <c r="I89" s="78" t="str">
        <f>IF(AND($D89&gt;0,I$6&gt;=$D89,I$6&lt;=$E89),1,IF(AND($F89&gt;0,I$6=$F89),"◆",""))</f>
        <v/>
      </c>
      <c r="J89" s="78" t="str">
        <f>IF(AND($D89&gt;0,J$6&gt;=$D89,J$6&lt;=$E89),1,IF(AND($F89&gt;0,J$6=$F89),"◆",""))</f>
        <v/>
      </c>
      <c r="K89" s="78" t="str">
        <f>IF(AND($D89&gt;0,K$6&gt;=$D89,K$6&lt;=$E89),1,IF(AND($F89&gt;0,K$6=$F89),"◆",""))</f>
        <v/>
      </c>
      <c r="L89" s="78" t="str">
        <f>IF(AND($D89&gt;0,L$6&gt;=$D89,L$6&lt;=$E89),1,IF(AND($F89&gt;0,L$6=$F89),"◆",""))</f>
        <v/>
      </c>
      <c r="M89" s="78" t="str">
        <f>IF(AND($D89&gt;0,M$6&gt;=$D89,M$6&lt;=$E89),1,IF(AND($F89&gt;0,M$6=$F89),"◆",""))</f>
        <v/>
      </c>
      <c r="N89" s="78" t="str">
        <f>IF(AND($D89&gt;0,N$6&gt;=$D89,N$6&lt;=$E89),1,IF(AND($F89&gt;0,N$6=$F89),"◆",""))</f>
        <v/>
      </c>
      <c r="O89" s="78" t="str">
        <f>IF(AND($D89&gt;0,O$6&gt;=$D89,O$6&lt;=$E89),1,IF(AND($F89&gt;0,O$6=$F89),"◆",""))</f>
        <v/>
      </c>
      <c r="P89" s="78" t="str">
        <f>IF(AND($D89&gt;0,P$6&gt;=$D89,P$6&lt;=$E89),1,IF(AND($F89&gt;0,P$6=$F89),"◆",""))</f>
        <v/>
      </c>
      <c r="Q89" s="78" t="str">
        <f>IF(AND($D89&gt;0,Q$6&gt;=$D89,Q$6&lt;=$E89),1,IF(AND($F89&gt;0,Q$6=$F89),"◆",""))</f>
        <v/>
      </c>
      <c r="R89" s="78" t="str">
        <f>IF(AND($D89&gt;0,R$6&gt;=$D89,R$6&lt;=$E89),1,IF(AND($F89&gt;0,R$6=$F89),"◆",""))</f>
        <v/>
      </c>
      <c r="S89" s="78" t="str">
        <f>IF(AND($D89&gt;0,S$6&gt;=$D89,S$6&lt;=$E89),1,IF(AND($F89&gt;0,S$6=$F89),"◆",""))</f>
        <v/>
      </c>
      <c r="T89" s="78" t="str">
        <f>IF(AND($D89&gt;0,T$6&gt;=$D89,T$6&lt;=$E89),1,IF(AND($F89&gt;0,T$6=$F89),"◆",""))</f>
        <v/>
      </c>
      <c r="U89" s="78" t="str">
        <f>IF(AND($D89&gt;0,U$6&gt;=$D89,U$6&lt;=$E89),1,IF(AND($F89&gt;0,U$6=$F89),"◆",""))</f>
        <v/>
      </c>
      <c r="V89" s="78" t="str">
        <f>IF(AND($D89&gt;0,V$6&gt;=$D89,V$6&lt;=$E89),1,IF(AND($F89&gt;0,V$6=$F89),"◆",""))</f>
        <v/>
      </c>
      <c r="W89" s="78" t="str">
        <f>IF(AND($D89&gt;0,W$6&gt;=$D89,W$6&lt;=$E89),1,IF(AND($F89&gt;0,W$6=$F89),"◆",""))</f>
        <v/>
      </c>
      <c r="X89" s="78" t="str">
        <f>IF(AND($D89&gt;0,X$6&gt;=$D89,X$6&lt;=$E89),1,IF(AND($F89&gt;0,X$6=$F89),"◆",""))</f>
        <v/>
      </c>
      <c r="Y89" s="78" t="str">
        <f>IF(AND($D89&gt;0,Y$6&gt;=$D89,Y$6&lt;=$E89),1,IF(AND($F89&gt;0,Y$6=$F89),"◆",""))</f>
        <v/>
      </c>
      <c r="Z89" s="78" t="str">
        <f>IF(AND($D89&gt;0,Z$6&gt;=$D89,Z$6&lt;=$E89),1,IF(AND($F89&gt;0,Z$6=$F89),"◆",""))</f>
        <v/>
      </c>
      <c r="AA89" s="78" t="str">
        <f>IF(AND($D89&gt;0,AA$6&gt;=$D89,AA$6&lt;=$E89),1,IF(AND($F89&gt;0,AA$6=$F89),"◆",""))</f>
        <v/>
      </c>
      <c r="AB89" s="78" t="str">
        <f>IF(AND($D89&gt;0,AB$6&gt;=$D89,AB$6&lt;=$E89),1,IF(AND($F89&gt;0,AB$6=$F89),"◆",""))</f>
        <v/>
      </c>
      <c r="AC89" s="78" t="str">
        <f>IF(AND($D89&gt;0,AC$6&gt;=$D89,AC$6&lt;=$E89),1,IF(AND($F89&gt;0,AC$6=$F89),"◆",""))</f>
        <v/>
      </c>
      <c r="AD89" s="78" t="str">
        <f>IF(AND($D89&gt;0,AD$6&gt;=$D89,AD$6&lt;=$E89),1,IF(AND($F89&gt;0,AD$6=$F89),"◆",""))</f>
        <v/>
      </c>
      <c r="AE89" s="78" t="str">
        <f>IF(AND($D89&gt;0,AE$6&gt;=$D89,AE$6&lt;=$E89),1,IF(AND($F89&gt;0,AE$6=$F89),"◆",""))</f>
        <v/>
      </c>
      <c r="AF89" s="78" t="str">
        <f>IF(AND($D89&gt;0,AF$6&gt;=$D89,AF$6&lt;=$E89),1,IF(AND($F89&gt;0,AF$6=$F89),"◆",""))</f>
        <v/>
      </c>
      <c r="AG89" s="78" t="str">
        <f>IF(AND($D89&gt;0,AG$6&gt;=$D89,AG$6&lt;=$E89),1,IF(AND($F89&gt;0,AG$6=$F89),"◆",""))</f>
        <v/>
      </c>
      <c r="AH89" s="78" t="str">
        <f>IF(AND($D89&gt;0,AH$6&gt;=$D89,AH$6&lt;=$E89),1,IF(AND($F89&gt;0,AH$6=$F89),"◆",""))</f>
        <v/>
      </c>
      <c r="AI89" s="78" t="str">
        <f>IF(AND($D89&gt;0,AI$6&gt;=$D89,AI$6&lt;=$E89),1,IF(AND($F89&gt;0,AI$6=$F89),"◆",""))</f>
        <v/>
      </c>
      <c r="AJ89" s="78" t="str">
        <f>IF(AND($D89&gt;0,AJ$6&gt;=$D89,AJ$6&lt;=$E89),1,IF(AND($F89&gt;0,AJ$6=$F89),"◆",""))</f>
        <v/>
      </c>
      <c r="AK89" s="78" t="str">
        <f>IF(AND($D89&gt;0,AK$6&gt;=$D89,AK$6&lt;=$E89),1,IF(AND($F89&gt;0,AK$6=$F89),"◆",""))</f>
        <v/>
      </c>
      <c r="AL89" s="78" t="str">
        <f>IF(AND($D89&gt;0,AL$6&gt;=$D89,AL$6&lt;=$E89),1,IF(AND($F89&gt;0,AL$6=$F89),"◆",""))</f>
        <v/>
      </c>
      <c r="AM89" s="78" t="str">
        <f>IF(AND($D89&gt;0,AM$6&gt;=$D89,AM$6&lt;=$E89),1,IF(AND($F89&gt;0,AM$6=$F89),"◆",""))</f>
        <v/>
      </c>
      <c r="AN89" s="78" t="str">
        <f>IF(AND($D89&gt;0,AN$6&gt;=$D89,AN$6&lt;=$E89),1,IF(AND($F89&gt;0,AN$6=$F89),"◆",""))</f>
        <v/>
      </c>
      <c r="AO89" s="78" t="str">
        <f>IF(AND($D89&gt;0,AO$6&gt;=$D89,AO$6&lt;=$E89),1,IF(AND($F89&gt;0,AO$6=$F89),"◆",""))</f>
        <v/>
      </c>
      <c r="AP89" s="78" t="str">
        <f>IF(AND($D89&gt;0,AP$6&gt;=$D89,AP$6&lt;=$E89),1,IF(AND($F89&gt;0,AP$6=$F89),"◆",""))</f>
        <v/>
      </c>
      <c r="AQ89" s="78" t="str">
        <f>IF(AND($D89&gt;0,AQ$6&gt;=$D89,AQ$6&lt;=$E89),1,IF(AND($F89&gt;0,AQ$6=$F89),"◆",""))</f>
        <v/>
      </c>
      <c r="AR89" s="78" t="str">
        <f>IF(AND($D89&gt;0,AR$6&gt;=$D89,AR$6&lt;=$E89),1,IF(AND($F89&gt;0,AR$6=$F89),"◆",""))</f>
        <v/>
      </c>
      <c r="AS89" s="78" t="str">
        <f>IF(AND($D89&gt;0,AS$6&gt;=$D89,AS$6&lt;=$E89),1,IF(AND($F89&gt;0,AS$6=$F89),"◆",""))</f>
        <v/>
      </c>
      <c r="AT89" s="78" t="str">
        <f>IF(AND($D89&gt;0,AT$6&gt;=$D89,AT$6&lt;=$E89),1,IF(AND($F89&gt;0,AT$6=$F89),"◆",""))</f>
        <v/>
      </c>
      <c r="AU89" s="78" t="str">
        <f>IF(AND($D89&gt;0,AU$6&gt;=$D89,AU$6&lt;=$E89),1,IF(AND($F89&gt;0,AU$6=$F89),"◆",""))</f>
        <v/>
      </c>
      <c r="AV89" s="78" t="str">
        <f>IF(AND($D89&gt;0,AV$6&gt;=$D89,AV$6&lt;=$E89),1,IF(AND($F89&gt;0,AV$6=$F89),"◆",""))</f>
        <v/>
      </c>
      <c r="AW89" s="78" t="str">
        <f>IF(AND($D89&gt;0,AW$6&gt;=$D89,AW$6&lt;=$E89),1,IF(AND($F89&gt;0,AW$6=$F89),"◆",""))</f>
        <v/>
      </c>
      <c r="AX89" s="78" t="str">
        <f>IF(AND($D89&gt;0,AX$6&gt;=$D89,AX$6&lt;=$E89),1,IF(AND($F89&gt;0,AX$6=$F89),"◆",""))</f>
        <v/>
      </c>
      <c r="AY89" s="78" t="str">
        <f>IF(AND($D89&gt;0,AY$6&gt;=$D89,AY$6&lt;=$E89),1,IF(AND($F89&gt;0,AY$6=$F89),"◆",""))</f>
        <v/>
      </c>
      <c r="AZ89" s="78" t="str">
        <f>IF(AND($D89&gt;0,AZ$6&gt;=$D89,AZ$6&lt;=$E89),1,IF(AND($F89&gt;0,AZ$6=$F89),"◆",""))</f>
        <v/>
      </c>
      <c r="BA89" s="78" t="str">
        <f>IF(AND($D89&gt;0,BA$6&gt;=$D89,BA$6&lt;=$E89),1,IF(AND($F89&gt;0,BA$6=$F89),"◆",""))</f>
        <v/>
      </c>
      <c r="BB89" s="78" t="str">
        <f>IF(AND($D89&gt;0,BB$6&gt;=$D89,BB$6&lt;=$E89),1,IF(AND($F89&gt;0,BB$6=$F89),"◆",""))</f>
        <v/>
      </c>
      <c r="BC89" s="78" t="str">
        <f>IF(AND($D89&gt;0,BC$6&gt;=$D89,BC$6&lt;=$E89),1,IF(AND($F89&gt;0,BC$6=$F89),"◆",""))</f>
        <v/>
      </c>
      <c r="BD89" s="78" t="str">
        <f>IF(AND($D89&gt;0,BD$6&gt;=$D89,BD$6&lt;=$E89),1,IF(AND($F89&gt;0,BD$6=$F89),"◆",""))</f>
        <v/>
      </c>
      <c r="BE89" s="78" t="str">
        <f>IF(AND($D89&gt;0,BE$6&gt;=$D89,BE$6&lt;=$E89),1,IF(AND($F89&gt;0,BE$6=$F89),"◆",""))</f>
        <v/>
      </c>
      <c r="BF89" s="78" t="str">
        <f>IF(AND($D89&gt;0,BF$6&gt;=$D89,BF$6&lt;=$E89),1,IF(AND($F89&gt;0,BF$6=$F89),"◆",""))</f>
        <v/>
      </c>
      <c r="BG89" s="78" t="str">
        <f>IF(AND($D89&gt;0,BG$6&gt;=$D89,BG$6&lt;=$E89),1,IF(AND($F89&gt;0,BG$6=$F89),"◆",""))</f>
        <v/>
      </c>
      <c r="BH89" s="78" t="str">
        <f>IF(AND($D89&gt;0,BH$6&gt;=$D89,BH$6&lt;=$E89),1,IF(AND($F89&gt;0,BH$6=$F89),"◆",""))</f>
        <v/>
      </c>
      <c r="BI89" s="78" t="str">
        <f>IF(AND($D89&gt;0,BI$6&gt;=$D89,BI$6&lt;=$E89),1,IF(AND($F89&gt;0,BI$6=$F89),"◆",""))</f>
        <v/>
      </c>
      <c r="BJ89" s="78" t="str">
        <f>IF(AND($D89&gt;0,BJ$6&gt;=$D89,BJ$6&lt;=$E89),1,IF(AND($F89&gt;0,BJ$6=$F89),"◆",""))</f>
        <v/>
      </c>
      <c r="BK89" s="78" t="str">
        <f>IF(AND($D89&gt;0,BK$6&gt;=$D89,BK$6&lt;=$E89),1,IF(AND($F89&gt;0,BK$6=$F89),"◆",""))</f>
        <v/>
      </c>
      <c r="BL89" s="78" t="str">
        <f>IF(AND($D89&gt;0,BL$6&gt;=$D89,BL$6&lt;=$E89),1,IF(AND($F89&gt;0,BL$6=$F89),"◆",""))</f>
        <v/>
      </c>
      <c r="BM89" s="78" t="str">
        <f>IF(AND($D89&gt;0,BM$6&gt;=$D89,BM$6&lt;=$E89),1,IF(AND($F89&gt;0,BM$6=$F89),"◆",""))</f>
        <v/>
      </c>
      <c r="BN89" s="78" t="str">
        <f>IF(AND($D89&gt;0,BN$6&gt;=$D89,BN$6&lt;=$E89),1,IF(AND($F89&gt;0,BN$6=$F89),"◆",""))</f>
        <v/>
      </c>
      <c r="BO89" s="78" t="str">
        <f>IF(AND($D89&gt;0,BO$6&gt;=$D89,BO$6&lt;=$E89),1,IF(AND($F89&gt;0,BO$6=$F89),"◆",""))</f>
        <v/>
      </c>
      <c r="BP89" s="78" t="str">
        <f>IF(AND($D89&gt;0,BP$6&gt;=$D89,BP$6&lt;=$E89),1,IF(AND($F89&gt;0,BP$6=$F89),"◆",""))</f>
        <v/>
      </c>
    </row>
    <row r="90">
      <c r="A90" s="75" t="str">
        <f>IF(INDEX(of_ref,84)="","",INDEX(of_num,84)&amp;"")</f>
        <v/>
      </c>
      <c r="B90" s="75" t="str">
        <f>IF(INDEX(of_ref,84)="","",INDEX(of_des,84)&amp;"")</f>
        <v/>
      </c>
      <c r="C90" s="76" t="str">
        <f>IF(INDEX(of_ref,84)="","",INDEX(of_poste,84)&amp;"")</f>
        <v/>
      </c>
      <c r="D90" s="77">
        <f>INDEX(of_start,84)</f>
        <v>0.0</v>
      </c>
      <c r="E90" s="77">
        <f>INDEX(of_end,84)</f>
        <v>0.0</v>
      </c>
      <c r="F90" s="77">
        <f>IF(N(INDEX(of_need,84))=0,0,INDEX(of_need,84))</f>
        <v>0.0</v>
      </c>
      <c r="G90" s="76" t="str">
        <f>IF(INDEX(of_ref,84)="","",INDEX(of_etat,84)&amp;"")</f>
        <v/>
      </c>
      <c r="I90" s="78" t="str">
        <f>IF(AND($D90&gt;0,I$6&gt;=$D90,I$6&lt;=$E90),1,IF(AND($F90&gt;0,I$6=$F90),"◆",""))</f>
        <v/>
      </c>
      <c r="J90" s="78" t="str">
        <f>IF(AND($D90&gt;0,J$6&gt;=$D90,J$6&lt;=$E90),1,IF(AND($F90&gt;0,J$6=$F90),"◆",""))</f>
        <v/>
      </c>
      <c r="K90" s="78" t="str">
        <f>IF(AND($D90&gt;0,K$6&gt;=$D90,K$6&lt;=$E90),1,IF(AND($F90&gt;0,K$6=$F90),"◆",""))</f>
        <v/>
      </c>
      <c r="L90" s="78" t="str">
        <f>IF(AND($D90&gt;0,L$6&gt;=$D90,L$6&lt;=$E90),1,IF(AND($F90&gt;0,L$6=$F90),"◆",""))</f>
        <v/>
      </c>
      <c r="M90" s="78" t="str">
        <f>IF(AND($D90&gt;0,M$6&gt;=$D90,M$6&lt;=$E90),1,IF(AND($F90&gt;0,M$6=$F90),"◆",""))</f>
        <v/>
      </c>
      <c r="N90" s="78" t="str">
        <f>IF(AND($D90&gt;0,N$6&gt;=$D90,N$6&lt;=$E90),1,IF(AND($F90&gt;0,N$6=$F90),"◆",""))</f>
        <v/>
      </c>
      <c r="O90" s="78" t="str">
        <f>IF(AND($D90&gt;0,O$6&gt;=$D90,O$6&lt;=$E90),1,IF(AND($F90&gt;0,O$6=$F90),"◆",""))</f>
        <v/>
      </c>
      <c r="P90" s="78" t="str">
        <f>IF(AND($D90&gt;0,P$6&gt;=$D90,P$6&lt;=$E90),1,IF(AND($F90&gt;0,P$6=$F90),"◆",""))</f>
        <v/>
      </c>
      <c r="Q90" s="78" t="str">
        <f>IF(AND($D90&gt;0,Q$6&gt;=$D90,Q$6&lt;=$E90),1,IF(AND($F90&gt;0,Q$6=$F90),"◆",""))</f>
        <v/>
      </c>
      <c r="R90" s="78" t="str">
        <f>IF(AND($D90&gt;0,R$6&gt;=$D90,R$6&lt;=$E90),1,IF(AND($F90&gt;0,R$6=$F90),"◆",""))</f>
        <v/>
      </c>
      <c r="S90" s="78" t="str">
        <f>IF(AND($D90&gt;0,S$6&gt;=$D90,S$6&lt;=$E90),1,IF(AND($F90&gt;0,S$6=$F90),"◆",""))</f>
        <v/>
      </c>
      <c r="T90" s="78" t="str">
        <f>IF(AND($D90&gt;0,T$6&gt;=$D90,T$6&lt;=$E90),1,IF(AND($F90&gt;0,T$6=$F90),"◆",""))</f>
        <v/>
      </c>
      <c r="U90" s="78" t="str">
        <f>IF(AND($D90&gt;0,U$6&gt;=$D90,U$6&lt;=$E90),1,IF(AND($F90&gt;0,U$6=$F90),"◆",""))</f>
        <v/>
      </c>
      <c r="V90" s="78" t="str">
        <f>IF(AND($D90&gt;0,V$6&gt;=$D90,V$6&lt;=$E90),1,IF(AND($F90&gt;0,V$6=$F90),"◆",""))</f>
        <v/>
      </c>
      <c r="W90" s="78" t="str">
        <f>IF(AND($D90&gt;0,W$6&gt;=$D90,W$6&lt;=$E90),1,IF(AND($F90&gt;0,W$6=$F90),"◆",""))</f>
        <v/>
      </c>
      <c r="X90" s="78" t="str">
        <f>IF(AND($D90&gt;0,X$6&gt;=$D90,X$6&lt;=$E90),1,IF(AND($F90&gt;0,X$6=$F90),"◆",""))</f>
        <v/>
      </c>
      <c r="Y90" s="78" t="str">
        <f>IF(AND($D90&gt;0,Y$6&gt;=$D90,Y$6&lt;=$E90),1,IF(AND($F90&gt;0,Y$6=$F90),"◆",""))</f>
        <v/>
      </c>
      <c r="Z90" s="78" t="str">
        <f>IF(AND($D90&gt;0,Z$6&gt;=$D90,Z$6&lt;=$E90),1,IF(AND($F90&gt;0,Z$6=$F90),"◆",""))</f>
        <v/>
      </c>
      <c r="AA90" s="78" t="str">
        <f>IF(AND($D90&gt;0,AA$6&gt;=$D90,AA$6&lt;=$E90),1,IF(AND($F90&gt;0,AA$6=$F90),"◆",""))</f>
        <v/>
      </c>
      <c r="AB90" s="78" t="str">
        <f>IF(AND($D90&gt;0,AB$6&gt;=$D90,AB$6&lt;=$E90),1,IF(AND($F90&gt;0,AB$6=$F90),"◆",""))</f>
        <v/>
      </c>
      <c r="AC90" s="78" t="str">
        <f>IF(AND($D90&gt;0,AC$6&gt;=$D90,AC$6&lt;=$E90),1,IF(AND($F90&gt;0,AC$6=$F90),"◆",""))</f>
        <v/>
      </c>
      <c r="AD90" s="78" t="str">
        <f>IF(AND($D90&gt;0,AD$6&gt;=$D90,AD$6&lt;=$E90),1,IF(AND($F90&gt;0,AD$6=$F90),"◆",""))</f>
        <v/>
      </c>
      <c r="AE90" s="78" t="str">
        <f>IF(AND($D90&gt;0,AE$6&gt;=$D90,AE$6&lt;=$E90),1,IF(AND($F90&gt;0,AE$6=$F90),"◆",""))</f>
        <v/>
      </c>
      <c r="AF90" s="78" t="str">
        <f>IF(AND($D90&gt;0,AF$6&gt;=$D90,AF$6&lt;=$E90),1,IF(AND($F90&gt;0,AF$6=$F90),"◆",""))</f>
        <v/>
      </c>
      <c r="AG90" s="78" t="str">
        <f>IF(AND($D90&gt;0,AG$6&gt;=$D90,AG$6&lt;=$E90),1,IF(AND($F90&gt;0,AG$6=$F90),"◆",""))</f>
        <v/>
      </c>
      <c r="AH90" s="78" t="str">
        <f>IF(AND($D90&gt;0,AH$6&gt;=$D90,AH$6&lt;=$E90),1,IF(AND($F90&gt;0,AH$6=$F90),"◆",""))</f>
        <v/>
      </c>
      <c r="AI90" s="78" t="str">
        <f>IF(AND($D90&gt;0,AI$6&gt;=$D90,AI$6&lt;=$E90),1,IF(AND($F90&gt;0,AI$6=$F90),"◆",""))</f>
        <v/>
      </c>
      <c r="AJ90" s="78" t="str">
        <f>IF(AND($D90&gt;0,AJ$6&gt;=$D90,AJ$6&lt;=$E90),1,IF(AND($F90&gt;0,AJ$6=$F90),"◆",""))</f>
        <v/>
      </c>
      <c r="AK90" s="78" t="str">
        <f>IF(AND($D90&gt;0,AK$6&gt;=$D90,AK$6&lt;=$E90),1,IF(AND($F90&gt;0,AK$6=$F90),"◆",""))</f>
        <v/>
      </c>
      <c r="AL90" s="78" t="str">
        <f>IF(AND($D90&gt;0,AL$6&gt;=$D90,AL$6&lt;=$E90),1,IF(AND($F90&gt;0,AL$6=$F90),"◆",""))</f>
        <v/>
      </c>
      <c r="AM90" s="78" t="str">
        <f>IF(AND($D90&gt;0,AM$6&gt;=$D90,AM$6&lt;=$E90),1,IF(AND($F90&gt;0,AM$6=$F90),"◆",""))</f>
        <v/>
      </c>
      <c r="AN90" s="78" t="str">
        <f>IF(AND($D90&gt;0,AN$6&gt;=$D90,AN$6&lt;=$E90),1,IF(AND($F90&gt;0,AN$6=$F90),"◆",""))</f>
        <v/>
      </c>
      <c r="AO90" s="78" t="str">
        <f>IF(AND($D90&gt;0,AO$6&gt;=$D90,AO$6&lt;=$E90),1,IF(AND($F90&gt;0,AO$6=$F90),"◆",""))</f>
        <v/>
      </c>
      <c r="AP90" s="78" t="str">
        <f>IF(AND($D90&gt;0,AP$6&gt;=$D90,AP$6&lt;=$E90),1,IF(AND($F90&gt;0,AP$6=$F90),"◆",""))</f>
        <v/>
      </c>
      <c r="AQ90" s="78" t="str">
        <f>IF(AND($D90&gt;0,AQ$6&gt;=$D90,AQ$6&lt;=$E90),1,IF(AND($F90&gt;0,AQ$6=$F90),"◆",""))</f>
        <v/>
      </c>
      <c r="AR90" s="78" t="str">
        <f>IF(AND($D90&gt;0,AR$6&gt;=$D90,AR$6&lt;=$E90),1,IF(AND($F90&gt;0,AR$6=$F90),"◆",""))</f>
        <v/>
      </c>
      <c r="AS90" s="78" t="str">
        <f>IF(AND($D90&gt;0,AS$6&gt;=$D90,AS$6&lt;=$E90),1,IF(AND($F90&gt;0,AS$6=$F90),"◆",""))</f>
        <v/>
      </c>
      <c r="AT90" s="78" t="str">
        <f>IF(AND($D90&gt;0,AT$6&gt;=$D90,AT$6&lt;=$E90),1,IF(AND($F90&gt;0,AT$6=$F90),"◆",""))</f>
        <v/>
      </c>
      <c r="AU90" s="78" t="str">
        <f>IF(AND($D90&gt;0,AU$6&gt;=$D90,AU$6&lt;=$E90),1,IF(AND($F90&gt;0,AU$6=$F90),"◆",""))</f>
        <v/>
      </c>
      <c r="AV90" s="78" t="str">
        <f>IF(AND($D90&gt;0,AV$6&gt;=$D90,AV$6&lt;=$E90),1,IF(AND($F90&gt;0,AV$6=$F90),"◆",""))</f>
        <v/>
      </c>
      <c r="AW90" s="78" t="str">
        <f>IF(AND($D90&gt;0,AW$6&gt;=$D90,AW$6&lt;=$E90),1,IF(AND($F90&gt;0,AW$6=$F90),"◆",""))</f>
        <v/>
      </c>
      <c r="AX90" s="78" t="str">
        <f>IF(AND($D90&gt;0,AX$6&gt;=$D90,AX$6&lt;=$E90),1,IF(AND($F90&gt;0,AX$6=$F90),"◆",""))</f>
        <v/>
      </c>
      <c r="AY90" s="78" t="str">
        <f>IF(AND($D90&gt;0,AY$6&gt;=$D90,AY$6&lt;=$E90),1,IF(AND($F90&gt;0,AY$6=$F90),"◆",""))</f>
        <v/>
      </c>
      <c r="AZ90" s="78" t="str">
        <f>IF(AND($D90&gt;0,AZ$6&gt;=$D90,AZ$6&lt;=$E90),1,IF(AND($F90&gt;0,AZ$6=$F90),"◆",""))</f>
        <v/>
      </c>
      <c r="BA90" s="78" t="str">
        <f>IF(AND($D90&gt;0,BA$6&gt;=$D90,BA$6&lt;=$E90),1,IF(AND($F90&gt;0,BA$6=$F90),"◆",""))</f>
        <v/>
      </c>
      <c r="BB90" s="78" t="str">
        <f>IF(AND($D90&gt;0,BB$6&gt;=$D90,BB$6&lt;=$E90),1,IF(AND($F90&gt;0,BB$6=$F90),"◆",""))</f>
        <v/>
      </c>
      <c r="BC90" s="78" t="str">
        <f>IF(AND($D90&gt;0,BC$6&gt;=$D90,BC$6&lt;=$E90),1,IF(AND($F90&gt;0,BC$6=$F90),"◆",""))</f>
        <v/>
      </c>
      <c r="BD90" s="78" t="str">
        <f>IF(AND($D90&gt;0,BD$6&gt;=$D90,BD$6&lt;=$E90),1,IF(AND($F90&gt;0,BD$6=$F90),"◆",""))</f>
        <v/>
      </c>
      <c r="BE90" s="78" t="str">
        <f>IF(AND($D90&gt;0,BE$6&gt;=$D90,BE$6&lt;=$E90),1,IF(AND($F90&gt;0,BE$6=$F90),"◆",""))</f>
        <v/>
      </c>
      <c r="BF90" s="78" t="str">
        <f>IF(AND($D90&gt;0,BF$6&gt;=$D90,BF$6&lt;=$E90),1,IF(AND($F90&gt;0,BF$6=$F90),"◆",""))</f>
        <v/>
      </c>
      <c r="BG90" s="78" t="str">
        <f>IF(AND($D90&gt;0,BG$6&gt;=$D90,BG$6&lt;=$E90),1,IF(AND($F90&gt;0,BG$6=$F90),"◆",""))</f>
        <v/>
      </c>
      <c r="BH90" s="78" t="str">
        <f>IF(AND($D90&gt;0,BH$6&gt;=$D90,BH$6&lt;=$E90),1,IF(AND($F90&gt;0,BH$6=$F90),"◆",""))</f>
        <v/>
      </c>
      <c r="BI90" s="78" t="str">
        <f>IF(AND($D90&gt;0,BI$6&gt;=$D90,BI$6&lt;=$E90),1,IF(AND($F90&gt;0,BI$6=$F90),"◆",""))</f>
        <v/>
      </c>
      <c r="BJ90" s="78" t="str">
        <f>IF(AND($D90&gt;0,BJ$6&gt;=$D90,BJ$6&lt;=$E90),1,IF(AND($F90&gt;0,BJ$6=$F90),"◆",""))</f>
        <v/>
      </c>
      <c r="BK90" s="78" t="str">
        <f>IF(AND($D90&gt;0,BK$6&gt;=$D90,BK$6&lt;=$E90),1,IF(AND($F90&gt;0,BK$6=$F90),"◆",""))</f>
        <v/>
      </c>
      <c r="BL90" s="78" t="str">
        <f>IF(AND($D90&gt;0,BL$6&gt;=$D90,BL$6&lt;=$E90),1,IF(AND($F90&gt;0,BL$6=$F90),"◆",""))</f>
        <v/>
      </c>
      <c r="BM90" s="78" t="str">
        <f>IF(AND($D90&gt;0,BM$6&gt;=$D90,BM$6&lt;=$E90),1,IF(AND($F90&gt;0,BM$6=$F90),"◆",""))</f>
        <v/>
      </c>
      <c r="BN90" s="78" t="str">
        <f>IF(AND($D90&gt;0,BN$6&gt;=$D90,BN$6&lt;=$E90),1,IF(AND($F90&gt;0,BN$6=$F90),"◆",""))</f>
        <v/>
      </c>
      <c r="BO90" s="78" t="str">
        <f>IF(AND($D90&gt;0,BO$6&gt;=$D90,BO$6&lt;=$E90),1,IF(AND($F90&gt;0,BO$6=$F90),"◆",""))</f>
        <v/>
      </c>
      <c r="BP90" s="78" t="str">
        <f>IF(AND($D90&gt;0,BP$6&gt;=$D90,BP$6&lt;=$E90),1,IF(AND($F90&gt;0,BP$6=$F90),"◆",""))</f>
        <v/>
      </c>
    </row>
    <row r="91">
      <c r="A91" s="75" t="str">
        <f>IF(INDEX(of_ref,85)="","",INDEX(of_num,85)&amp;"")</f>
        <v/>
      </c>
      <c r="B91" s="75" t="str">
        <f>IF(INDEX(of_ref,85)="","",INDEX(of_des,85)&amp;"")</f>
        <v/>
      </c>
      <c r="C91" s="76" t="str">
        <f>IF(INDEX(of_ref,85)="","",INDEX(of_poste,85)&amp;"")</f>
        <v/>
      </c>
      <c r="D91" s="77">
        <f>INDEX(of_start,85)</f>
        <v>0.0</v>
      </c>
      <c r="E91" s="77">
        <f>INDEX(of_end,85)</f>
        <v>0.0</v>
      </c>
      <c r="F91" s="77">
        <f>IF(N(INDEX(of_need,85))=0,0,INDEX(of_need,85))</f>
        <v>0.0</v>
      </c>
      <c r="G91" s="76" t="str">
        <f>IF(INDEX(of_ref,85)="","",INDEX(of_etat,85)&amp;"")</f>
        <v/>
      </c>
      <c r="I91" s="78" t="str">
        <f>IF(AND($D91&gt;0,I$6&gt;=$D91,I$6&lt;=$E91),1,IF(AND($F91&gt;0,I$6=$F91),"◆",""))</f>
        <v/>
      </c>
      <c r="J91" s="78" t="str">
        <f>IF(AND($D91&gt;0,J$6&gt;=$D91,J$6&lt;=$E91),1,IF(AND($F91&gt;0,J$6=$F91),"◆",""))</f>
        <v/>
      </c>
      <c r="K91" s="78" t="str">
        <f>IF(AND($D91&gt;0,K$6&gt;=$D91,K$6&lt;=$E91),1,IF(AND($F91&gt;0,K$6=$F91),"◆",""))</f>
        <v/>
      </c>
      <c r="L91" s="78" t="str">
        <f>IF(AND($D91&gt;0,L$6&gt;=$D91,L$6&lt;=$E91),1,IF(AND($F91&gt;0,L$6=$F91),"◆",""))</f>
        <v/>
      </c>
      <c r="M91" s="78" t="str">
        <f>IF(AND($D91&gt;0,M$6&gt;=$D91,M$6&lt;=$E91),1,IF(AND($F91&gt;0,M$6=$F91),"◆",""))</f>
        <v/>
      </c>
      <c r="N91" s="78" t="str">
        <f>IF(AND($D91&gt;0,N$6&gt;=$D91,N$6&lt;=$E91),1,IF(AND($F91&gt;0,N$6=$F91),"◆",""))</f>
        <v/>
      </c>
      <c r="O91" s="78" t="str">
        <f>IF(AND($D91&gt;0,O$6&gt;=$D91,O$6&lt;=$E91),1,IF(AND($F91&gt;0,O$6=$F91),"◆",""))</f>
        <v/>
      </c>
      <c r="P91" s="78" t="str">
        <f>IF(AND($D91&gt;0,P$6&gt;=$D91,P$6&lt;=$E91),1,IF(AND($F91&gt;0,P$6=$F91),"◆",""))</f>
        <v/>
      </c>
      <c r="Q91" s="78" t="str">
        <f>IF(AND($D91&gt;0,Q$6&gt;=$D91,Q$6&lt;=$E91),1,IF(AND($F91&gt;0,Q$6=$F91),"◆",""))</f>
        <v/>
      </c>
      <c r="R91" s="78" t="str">
        <f>IF(AND($D91&gt;0,R$6&gt;=$D91,R$6&lt;=$E91),1,IF(AND($F91&gt;0,R$6=$F91),"◆",""))</f>
        <v/>
      </c>
      <c r="S91" s="78" t="str">
        <f>IF(AND($D91&gt;0,S$6&gt;=$D91,S$6&lt;=$E91),1,IF(AND($F91&gt;0,S$6=$F91),"◆",""))</f>
        <v/>
      </c>
      <c r="T91" s="78" t="str">
        <f>IF(AND($D91&gt;0,T$6&gt;=$D91,T$6&lt;=$E91),1,IF(AND($F91&gt;0,T$6=$F91),"◆",""))</f>
        <v/>
      </c>
      <c r="U91" s="78" t="str">
        <f>IF(AND($D91&gt;0,U$6&gt;=$D91,U$6&lt;=$E91),1,IF(AND($F91&gt;0,U$6=$F91),"◆",""))</f>
        <v/>
      </c>
      <c r="V91" s="78" t="str">
        <f>IF(AND($D91&gt;0,V$6&gt;=$D91,V$6&lt;=$E91),1,IF(AND($F91&gt;0,V$6=$F91),"◆",""))</f>
        <v/>
      </c>
      <c r="W91" s="78" t="str">
        <f>IF(AND($D91&gt;0,W$6&gt;=$D91,W$6&lt;=$E91),1,IF(AND($F91&gt;0,W$6=$F91),"◆",""))</f>
        <v/>
      </c>
      <c r="X91" s="78" t="str">
        <f>IF(AND($D91&gt;0,X$6&gt;=$D91,X$6&lt;=$E91),1,IF(AND($F91&gt;0,X$6=$F91),"◆",""))</f>
        <v/>
      </c>
      <c r="Y91" s="78" t="str">
        <f>IF(AND($D91&gt;0,Y$6&gt;=$D91,Y$6&lt;=$E91),1,IF(AND($F91&gt;0,Y$6=$F91),"◆",""))</f>
        <v/>
      </c>
      <c r="Z91" s="78" t="str">
        <f>IF(AND($D91&gt;0,Z$6&gt;=$D91,Z$6&lt;=$E91),1,IF(AND($F91&gt;0,Z$6=$F91),"◆",""))</f>
        <v/>
      </c>
      <c r="AA91" s="78" t="str">
        <f>IF(AND($D91&gt;0,AA$6&gt;=$D91,AA$6&lt;=$E91),1,IF(AND($F91&gt;0,AA$6=$F91),"◆",""))</f>
        <v/>
      </c>
      <c r="AB91" s="78" t="str">
        <f>IF(AND($D91&gt;0,AB$6&gt;=$D91,AB$6&lt;=$E91),1,IF(AND($F91&gt;0,AB$6=$F91),"◆",""))</f>
        <v/>
      </c>
      <c r="AC91" s="78" t="str">
        <f>IF(AND($D91&gt;0,AC$6&gt;=$D91,AC$6&lt;=$E91),1,IF(AND($F91&gt;0,AC$6=$F91),"◆",""))</f>
        <v/>
      </c>
      <c r="AD91" s="78" t="str">
        <f>IF(AND($D91&gt;0,AD$6&gt;=$D91,AD$6&lt;=$E91),1,IF(AND($F91&gt;0,AD$6=$F91),"◆",""))</f>
        <v/>
      </c>
      <c r="AE91" s="78" t="str">
        <f>IF(AND($D91&gt;0,AE$6&gt;=$D91,AE$6&lt;=$E91),1,IF(AND($F91&gt;0,AE$6=$F91),"◆",""))</f>
        <v/>
      </c>
      <c r="AF91" s="78" t="str">
        <f>IF(AND($D91&gt;0,AF$6&gt;=$D91,AF$6&lt;=$E91),1,IF(AND($F91&gt;0,AF$6=$F91),"◆",""))</f>
        <v/>
      </c>
      <c r="AG91" s="78" t="str">
        <f>IF(AND($D91&gt;0,AG$6&gt;=$D91,AG$6&lt;=$E91),1,IF(AND($F91&gt;0,AG$6=$F91),"◆",""))</f>
        <v/>
      </c>
      <c r="AH91" s="78" t="str">
        <f>IF(AND($D91&gt;0,AH$6&gt;=$D91,AH$6&lt;=$E91),1,IF(AND($F91&gt;0,AH$6=$F91),"◆",""))</f>
        <v/>
      </c>
      <c r="AI91" s="78" t="str">
        <f>IF(AND($D91&gt;0,AI$6&gt;=$D91,AI$6&lt;=$E91),1,IF(AND($F91&gt;0,AI$6=$F91),"◆",""))</f>
        <v/>
      </c>
      <c r="AJ91" s="78" t="str">
        <f>IF(AND($D91&gt;0,AJ$6&gt;=$D91,AJ$6&lt;=$E91),1,IF(AND($F91&gt;0,AJ$6=$F91),"◆",""))</f>
        <v/>
      </c>
      <c r="AK91" s="78" t="str">
        <f>IF(AND($D91&gt;0,AK$6&gt;=$D91,AK$6&lt;=$E91),1,IF(AND($F91&gt;0,AK$6=$F91),"◆",""))</f>
        <v/>
      </c>
      <c r="AL91" s="78" t="str">
        <f>IF(AND($D91&gt;0,AL$6&gt;=$D91,AL$6&lt;=$E91),1,IF(AND($F91&gt;0,AL$6=$F91),"◆",""))</f>
        <v/>
      </c>
      <c r="AM91" s="78" t="str">
        <f>IF(AND($D91&gt;0,AM$6&gt;=$D91,AM$6&lt;=$E91),1,IF(AND($F91&gt;0,AM$6=$F91),"◆",""))</f>
        <v/>
      </c>
      <c r="AN91" s="78" t="str">
        <f>IF(AND($D91&gt;0,AN$6&gt;=$D91,AN$6&lt;=$E91),1,IF(AND($F91&gt;0,AN$6=$F91),"◆",""))</f>
        <v/>
      </c>
      <c r="AO91" s="78" t="str">
        <f>IF(AND($D91&gt;0,AO$6&gt;=$D91,AO$6&lt;=$E91),1,IF(AND($F91&gt;0,AO$6=$F91),"◆",""))</f>
        <v/>
      </c>
      <c r="AP91" s="78" t="str">
        <f>IF(AND($D91&gt;0,AP$6&gt;=$D91,AP$6&lt;=$E91),1,IF(AND($F91&gt;0,AP$6=$F91),"◆",""))</f>
        <v/>
      </c>
      <c r="AQ91" s="78" t="str">
        <f>IF(AND($D91&gt;0,AQ$6&gt;=$D91,AQ$6&lt;=$E91),1,IF(AND($F91&gt;0,AQ$6=$F91),"◆",""))</f>
        <v/>
      </c>
      <c r="AR91" s="78" t="str">
        <f>IF(AND($D91&gt;0,AR$6&gt;=$D91,AR$6&lt;=$E91),1,IF(AND($F91&gt;0,AR$6=$F91),"◆",""))</f>
        <v/>
      </c>
      <c r="AS91" s="78" t="str">
        <f>IF(AND($D91&gt;0,AS$6&gt;=$D91,AS$6&lt;=$E91),1,IF(AND($F91&gt;0,AS$6=$F91),"◆",""))</f>
        <v/>
      </c>
      <c r="AT91" s="78" t="str">
        <f>IF(AND($D91&gt;0,AT$6&gt;=$D91,AT$6&lt;=$E91),1,IF(AND($F91&gt;0,AT$6=$F91),"◆",""))</f>
        <v/>
      </c>
      <c r="AU91" s="78" t="str">
        <f>IF(AND($D91&gt;0,AU$6&gt;=$D91,AU$6&lt;=$E91),1,IF(AND($F91&gt;0,AU$6=$F91),"◆",""))</f>
        <v/>
      </c>
      <c r="AV91" s="78" t="str">
        <f>IF(AND($D91&gt;0,AV$6&gt;=$D91,AV$6&lt;=$E91),1,IF(AND($F91&gt;0,AV$6=$F91),"◆",""))</f>
        <v/>
      </c>
      <c r="AW91" s="78" t="str">
        <f>IF(AND($D91&gt;0,AW$6&gt;=$D91,AW$6&lt;=$E91),1,IF(AND($F91&gt;0,AW$6=$F91),"◆",""))</f>
        <v/>
      </c>
      <c r="AX91" s="78" t="str">
        <f>IF(AND($D91&gt;0,AX$6&gt;=$D91,AX$6&lt;=$E91),1,IF(AND($F91&gt;0,AX$6=$F91),"◆",""))</f>
        <v/>
      </c>
      <c r="AY91" s="78" t="str">
        <f>IF(AND($D91&gt;0,AY$6&gt;=$D91,AY$6&lt;=$E91),1,IF(AND($F91&gt;0,AY$6=$F91),"◆",""))</f>
        <v/>
      </c>
      <c r="AZ91" s="78" t="str">
        <f>IF(AND($D91&gt;0,AZ$6&gt;=$D91,AZ$6&lt;=$E91),1,IF(AND($F91&gt;0,AZ$6=$F91),"◆",""))</f>
        <v/>
      </c>
      <c r="BA91" s="78" t="str">
        <f>IF(AND($D91&gt;0,BA$6&gt;=$D91,BA$6&lt;=$E91),1,IF(AND($F91&gt;0,BA$6=$F91),"◆",""))</f>
        <v/>
      </c>
      <c r="BB91" s="78" t="str">
        <f>IF(AND($D91&gt;0,BB$6&gt;=$D91,BB$6&lt;=$E91),1,IF(AND($F91&gt;0,BB$6=$F91),"◆",""))</f>
        <v/>
      </c>
      <c r="BC91" s="78" t="str">
        <f>IF(AND($D91&gt;0,BC$6&gt;=$D91,BC$6&lt;=$E91),1,IF(AND($F91&gt;0,BC$6=$F91),"◆",""))</f>
        <v/>
      </c>
      <c r="BD91" s="78" t="str">
        <f>IF(AND($D91&gt;0,BD$6&gt;=$D91,BD$6&lt;=$E91),1,IF(AND($F91&gt;0,BD$6=$F91),"◆",""))</f>
        <v/>
      </c>
      <c r="BE91" s="78" t="str">
        <f>IF(AND($D91&gt;0,BE$6&gt;=$D91,BE$6&lt;=$E91),1,IF(AND($F91&gt;0,BE$6=$F91),"◆",""))</f>
        <v/>
      </c>
      <c r="BF91" s="78" t="str">
        <f>IF(AND($D91&gt;0,BF$6&gt;=$D91,BF$6&lt;=$E91),1,IF(AND($F91&gt;0,BF$6=$F91),"◆",""))</f>
        <v/>
      </c>
      <c r="BG91" s="78" t="str">
        <f>IF(AND($D91&gt;0,BG$6&gt;=$D91,BG$6&lt;=$E91),1,IF(AND($F91&gt;0,BG$6=$F91),"◆",""))</f>
        <v/>
      </c>
      <c r="BH91" s="78" t="str">
        <f>IF(AND($D91&gt;0,BH$6&gt;=$D91,BH$6&lt;=$E91),1,IF(AND($F91&gt;0,BH$6=$F91),"◆",""))</f>
        <v/>
      </c>
      <c r="BI91" s="78" t="str">
        <f>IF(AND($D91&gt;0,BI$6&gt;=$D91,BI$6&lt;=$E91),1,IF(AND($F91&gt;0,BI$6=$F91),"◆",""))</f>
        <v/>
      </c>
      <c r="BJ91" s="78" t="str">
        <f>IF(AND($D91&gt;0,BJ$6&gt;=$D91,BJ$6&lt;=$E91),1,IF(AND($F91&gt;0,BJ$6=$F91),"◆",""))</f>
        <v/>
      </c>
      <c r="BK91" s="78" t="str">
        <f>IF(AND($D91&gt;0,BK$6&gt;=$D91,BK$6&lt;=$E91),1,IF(AND($F91&gt;0,BK$6=$F91),"◆",""))</f>
        <v/>
      </c>
      <c r="BL91" s="78" t="str">
        <f>IF(AND($D91&gt;0,BL$6&gt;=$D91,BL$6&lt;=$E91),1,IF(AND($F91&gt;0,BL$6=$F91),"◆",""))</f>
        <v/>
      </c>
      <c r="BM91" s="78" t="str">
        <f>IF(AND($D91&gt;0,BM$6&gt;=$D91,BM$6&lt;=$E91),1,IF(AND($F91&gt;0,BM$6=$F91),"◆",""))</f>
        <v/>
      </c>
      <c r="BN91" s="78" t="str">
        <f>IF(AND($D91&gt;0,BN$6&gt;=$D91,BN$6&lt;=$E91),1,IF(AND($F91&gt;0,BN$6=$F91),"◆",""))</f>
        <v/>
      </c>
      <c r="BO91" s="78" t="str">
        <f>IF(AND($D91&gt;0,BO$6&gt;=$D91,BO$6&lt;=$E91),1,IF(AND($F91&gt;0,BO$6=$F91),"◆",""))</f>
        <v/>
      </c>
      <c r="BP91" s="78" t="str">
        <f>IF(AND($D91&gt;0,BP$6&gt;=$D91,BP$6&lt;=$E91),1,IF(AND($F91&gt;0,BP$6=$F91),"◆",""))</f>
        <v/>
      </c>
    </row>
    <row r="92">
      <c r="A92" s="75" t="str">
        <f>IF(INDEX(of_ref,86)="","",INDEX(of_num,86)&amp;"")</f>
        <v/>
      </c>
      <c r="B92" s="75" t="str">
        <f>IF(INDEX(of_ref,86)="","",INDEX(of_des,86)&amp;"")</f>
        <v/>
      </c>
      <c r="C92" s="76" t="str">
        <f>IF(INDEX(of_ref,86)="","",INDEX(of_poste,86)&amp;"")</f>
        <v/>
      </c>
      <c r="D92" s="77">
        <f>INDEX(of_start,86)</f>
        <v>0.0</v>
      </c>
      <c r="E92" s="77">
        <f>INDEX(of_end,86)</f>
        <v>0.0</v>
      </c>
      <c r="F92" s="77">
        <f>IF(N(INDEX(of_need,86))=0,0,INDEX(of_need,86))</f>
        <v>0.0</v>
      </c>
      <c r="G92" s="76" t="str">
        <f>IF(INDEX(of_ref,86)="","",INDEX(of_etat,86)&amp;"")</f>
        <v/>
      </c>
      <c r="I92" s="78" t="str">
        <f>IF(AND($D92&gt;0,I$6&gt;=$D92,I$6&lt;=$E92),1,IF(AND($F92&gt;0,I$6=$F92),"◆",""))</f>
        <v/>
      </c>
      <c r="J92" s="78" t="str">
        <f>IF(AND($D92&gt;0,J$6&gt;=$D92,J$6&lt;=$E92),1,IF(AND($F92&gt;0,J$6=$F92),"◆",""))</f>
        <v/>
      </c>
      <c r="K92" s="78" t="str">
        <f>IF(AND($D92&gt;0,K$6&gt;=$D92,K$6&lt;=$E92),1,IF(AND($F92&gt;0,K$6=$F92),"◆",""))</f>
        <v/>
      </c>
      <c r="L92" s="78" t="str">
        <f>IF(AND($D92&gt;0,L$6&gt;=$D92,L$6&lt;=$E92),1,IF(AND($F92&gt;0,L$6=$F92),"◆",""))</f>
        <v/>
      </c>
      <c r="M92" s="78" t="str">
        <f>IF(AND($D92&gt;0,M$6&gt;=$D92,M$6&lt;=$E92),1,IF(AND($F92&gt;0,M$6=$F92),"◆",""))</f>
        <v/>
      </c>
      <c r="N92" s="78" t="str">
        <f>IF(AND($D92&gt;0,N$6&gt;=$D92,N$6&lt;=$E92),1,IF(AND($F92&gt;0,N$6=$F92),"◆",""))</f>
        <v/>
      </c>
      <c r="O92" s="78" t="str">
        <f>IF(AND($D92&gt;0,O$6&gt;=$D92,O$6&lt;=$E92),1,IF(AND($F92&gt;0,O$6=$F92),"◆",""))</f>
        <v/>
      </c>
      <c r="P92" s="78" t="str">
        <f>IF(AND($D92&gt;0,P$6&gt;=$D92,P$6&lt;=$E92),1,IF(AND($F92&gt;0,P$6=$F92),"◆",""))</f>
        <v/>
      </c>
      <c r="Q92" s="78" t="str">
        <f>IF(AND($D92&gt;0,Q$6&gt;=$D92,Q$6&lt;=$E92),1,IF(AND($F92&gt;0,Q$6=$F92),"◆",""))</f>
        <v/>
      </c>
      <c r="R92" s="78" t="str">
        <f>IF(AND($D92&gt;0,R$6&gt;=$D92,R$6&lt;=$E92),1,IF(AND($F92&gt;0,R$6=$F92),"◆",""))</f>
        <v/>
      </c>
      <c r="S92" s="78" t="str">
        <f>IF(AND($D92&gt;0,S$6&gt;=$D92,S$6&lt;=$E92),1,IF(AND($F92&gt;0,S$6=$F92),"◆",""))</f>
        <v/>
      </c>
      <c r="T92" s="78" t="str">
        <f>IF(AND($D92&gt;0,T$6&gt;=$D92,T$6&lt;=$E92),1,IF(AND($F92&gt;0,T$6=$F92),"◆",""))</f>
        <v/>
      </c>
      <c r="U92" s="78" t="str">
        <f>IF(AND($D92&gt;0,U$6&gt;=$D92,U$6&lt;=$E92),1,IF(AND($F92&gt;0,U$6=$F92),"◆",""))</f>
        <v/>
      </c>
      <c r="V92" s="78" t="str">
        <f>IF(AND($D92&gt;0,V$6&gt;=$D92,V$6&lt;=$E92),1,IF(AND($F92&gt;0,V$6=$F92),"◆",""))</f>
        <v/>
      </c>
      <c r="W92" s="78" t="str">
        <f>IF(AND($D92&gt;0,W$6&gt;=$D92,W$6&lt;=$E92),1,IF(AND($F92&gt;0,W$6=$F92),"◆",""))</f>
        <v/>
      </c>
      <c r="X92" s="78" t="str">
        <f>IF(AND($D92&gt;0,X$6&gt;=$D92,X$6&lt;=$E92),1,IF(AND($F92&gt;0,X$6=$F92),"◆",""))</f>
        <v/>
      </c>
      <c r="Y92" s="78" t="str">
        <f>IF(AND($D92&gt;0,Y$6&gt;=$D92,Y$6&lt;=$E92),1,IF(AND($F92&gt;0,Y$6=$F92),"◆",""))</f>
        <v/>
      </c>
      <c r="Z92" s="78" t="str">
        <f>IF(AND($D92&gt;0,Z$6&gt;=$D92,Z$6&lt;=$E92),1,IF(AND($F92&gt;0,Z$6=$F92),"◆",""))</f>
        <v/>
      </c>
      <c r="AA92" s="78" t="str">
        <f>IF(AND($D92&gt;0,AA$6&gt;=$D92,AA$6&lt;=$E92),1,IF(AND($F92&gt;0,AA$6=$F92),"◆",""))</f>
        <v/>
      </c>
      <c r="AB92" s="78" t="str">
        <f>IF(AND($D92&gt;0,AB$6&gt;=$D92,AB$6&lt;=$E92),1,IF(AND($F92&gt;0,AB$6=$F92),"◆",""))</f>
        <v/>
      </c>
      <c r="AC92" s="78" t="str">
        <f>IF(AND($D92&gt;0,AC$6&gt;=$D92,AC$6&lt;=$E92),1,IF(AND($F92&gt;0,AC$6=$F92),"◆",""))</f>
        <v/>
      </c>
      <c r="AD92" s="78" t="str">
        <f>IF(AND($D92&gt;0,AD$6&gt;=$D92,AD$6&lt;=$E92),1,IF(AND($F92&gt;0,AD$6=$F92),"◆",""))</f>
        <v/>
      </c>
      <c r="AE92" s="78" t="str">
        <f>IF(AND($D92&gt;0,AE$6&gt;=$D92,AE$6&lt;=$E92),1,IF(AND($F92&gt;0,AE$6=$F92),"◆",""))</f>
        <v/>
      </c>
      <c r="AF92" s="78" t="str">
        <f>IF(AND($D92&gt;0,AF$6&gt;=$D92,AF$6&lt;=$E92),1,IF(AND($F92&gt;0,AF$6=$F92),"◆",""))</f>
        <v/>
      </c>
      <c r="AG92" s="78" t="str">
        <f>IF(AND($D92&gt;0,AG$6&gt;=$D92,AG$6&lt;=$E92),1,IF(AND($F92&gt;0,AG$6=$F92),"◆",""))</f>
        <v/>
      </c>
      <c r="AH92" s="78" t="str">
        <f>IF(AND($D92&gt;0,AH$6&gt;=$D92,AH$6&lt;=$E92),1,IF(AND($F92&gt;0,AH$6=$F92),"◆",""))</f>
        <v/>
      </c>
      <c r="AI92" s="78" t="str">
        <f>IF(AND($D92&gt;0,AI$6&gt;=$D92,AI$6&lt;=$E92),1,IF(AND($F92&gt;0,AI$6=$F92),"◆",""))</f>
        <v/>
      </c>
      <c r="AJ92" s="78" t="str">
        <f>IF(AND($D92&gt;0,AJ$6&gt;=$D92,AJ$6&lt;=$E92),1,IF(AND($F92&gt;0,AJ$6=$F92),"◆",""))</f>
        <v/>
      </c>
      <c r="AK92" s="78" t="str">
        <f>IF(AND($D92&gt;0,AK$6&gt;=$D92,AK$6&lt;=$E92),1,IF(AND($F92&gt;0,AK$6=$F92),"◆",""))</f>
        <v/>
      </c>
      <c r="AL92" s="78" t="str">
        <f>IF(AND($D92&gt;0,AL$6&gt;=$D92,AL$6&lt;=$E92),1,IF(AND($F92&gt;0,AL$6=$F92),"◆",""))</f>
        <v/>
      </c>
      <c r="AM92" s="78" t="str">
        <f>IF(AND($D92&gt;0,AM$6&gt;=$D92,AM$6&lt;=$E92),1,IF(AND($F92&gt;0,AM$6=$F92),"◆",""))</f>
        <v/>
      </c>
      <c r="AN92" s="78" t="str">
        <f>IF(AND($D92&gt;0,AN$6&gt;=$D92,AN$6&lt;=$E92),1,IF(AND($F92&gt;0,AN$6=$F92),"◆",""))</f>
        <v/>
      </c>
      <c r="AO92" s="78" t="str">
        <f>IF(AND($D92&gt;0,AO$6&gt;=$D92,AO$6&lt;=$E92),1,IF(AND($F92&gt;0,AO$6=$F92),"◆",""))</f>
        <v/>
      </c>
      <c r="AP92" s="78" t="str">
        <f>IF(AND($D92&gt;0,AP$6&gt;=$D92,AP$6&lt;=$E92),1,IF(AND($F92&gt;0,AP$6=$F92),"◆",""))</f>
        <v/>
      </c>
      <c r="AQ92" s="78" t="str">
        <f>IF(AND($D92&gt;0,AQ$6&gt;=$D92,AQ$6&lt;=$E92),1,IF(AND($F92&gt;0,AQ$6=$F92),"◆",""))</f>
        <v/>
      </c>
      <c r="AR92" s="78" t="str">
        <f>IF(AND($D92&gt;0,AR$6&gt;=$D92,AR$6&lt;=$E92),1,IF(AND($F92&gt;0,AR$6=$F92),"◆",""))</f>
        <v/>
      </c>
      <c r="AS92" s="78" t="str">
        <f>IF(AND($D92&gt;0,AS$6&gt;=$D92,AS$6&lt;=$E92),1,IF(AND($F92&gt;0,AS$6=$F92),"◆",""))</f>
        <v/>
      </c>
      <c r="AT92" s="78" t="str">
        <f>IF(AND($D92&gt;0,AT$6&gt;=$D92,AT$6&lt;=$E92),1,IF(AND($F92&gt;0,AT$6=$F92),"◆",""))</f>
        <v/>
      </c>
      <c r="AU92" s="78" t="str">
        <f>IF(AND($D92&gt;0,AU$6&gt;=$D92,AU$6&lt;=$E92),1,IF(AND($F92&gt;0,AU$6=$F92),"◆",""))</f>
        <v/>
      </c>
      <c r="AV92" s="78" t="str">
        <f>IF(AND($D92&gt;0,AV$6&gt;=$D92,AV$6&lt;=$E92),1,IF(AND($F92&gt;0,AV$6=$F92),"◆",""))</f>
        <v/>
      </c>
      <c r="AW92" s="78" t="str">
        <f>IF(AND($D92&gt;0,AW$6&gt;=$D92,AW$6&lt;=$E92),1,IF(AND($F92&gt;0,AW$6=$F92),"◆",""))</f>
        <v/>
      </c>
      <c r="AX92" s="78" t="str">
        <f>IF(AND($D92&gt;0,AX$6&gt;=$D92,AX$6&lt;=$E92),1,IF(AND($F92&gt;0,AX$6=$F92),"◆",""))</f>
        <v/>
      </c>
      <c r="AY92" s="78" t="str">
        <f>IF(AND($D92&gt;0,AY$6&gt;=$D92,AY$6&lt;=$E92),1,IF(AND($F92&gt;0,AY$6=$F92),"◆",""))</f>
        <v/>
      </c>
      <c r="AZ92" s="78" t="str">
        <f>IF(AND($D92&gt;0,AZ$6&gt;=$D92,AZ$6&lt;=$E92),1,IF(AND($F92&gt;0,AZ$6=$F92),"◆",""))</f>
        <v/>
      </c>
      <c r="BA92" s="78" t="str">
        <f>IF(AND($D92&gt;0,BA$6&gt;=$D92,BA$6&lt;=$E92),1,IF(AND($F92&gt;0,BA$6=$F92),"◆",""))</f>
        <v/>
      </c>
      <c r="BB92" s="78" t="str">
        <f>IF(AND($D92&gt;0,BB$6&gt;=$D92,BB$6&lt;=$E92),1,IF(AND($F92&gt;0,BB$6=$F92),"◆",""))</f>
        <v/>
      </c>
      <c r="BC92" s="78" t="str">
        <f>IF(AND($D92&gt;0,BC$6&gt;=$D92,BC$6&lt;=$E92),1,IF(AND($F92&gt;0,BC$6=$F92),"◆",""))</f>
        <v/>
      </c>
      <c r="BD92" s="78" t="str">
        <f>IF(AND($D92&gt;0,BD$6&gt;=$D92,BD$6&lt;=$E92),1,IF(AND($F92&gt;0,BD$6=$F92),"◆",""))</f>
        <v/>
      </c>
      <c r="BE92" s="78" t="str">
        <f>IF(AND($D92&gt;0,BE$6&gt;=$D92,BE$6&lt;=$E92),1,IF(AND($F92&gt;0,BE$6=$F92),"◆",""))</f>
        <v/>
      </c>
      <c r="BF92" s="78" t="str">
        <f>IF(AND($D92&gt;0,BF$6&gt;=$D92,BF$6&lt;=$E92),1,IF(AND($F92&gt;0,BF$6=$F92),"◆",""))</f>
        <v/>
      </c>
      <c r="BG92" s="78" t="str">
        <f>IF(AND($D92&gt;0,BG$6&gt;=$D92,BG$6&lt;=$E92),1,IF(AND($F92&gt;0,BG$6=$F92),"◆",""))</f>
        <v/>
      </c>
      <c r="BH92" s="78" t="str">
        <f>IF(AND($D92&gt;0,BH$6&gt;=$D92,BH$6&lt;=$E92),1,IF(AND($F92&gt;0,BH$6=$F92),"◆",""))</f>
        <v/>
      </c>
      <c r="BI92" s="78" t="str">
        <f>IF(AND($D92&gt;0,BI$6&gt;=$D92,BI$6&lt;=$E92),1,IF(AND($F92&gt;0,BI$6=$F92),"◆",""))</f>
        <v/>
      </c>
      <c r="BJ92" s="78" t="str">
        <f>IF(AND($D92&gt;0,BJ$6&gt;=$D92,BJ$6&lt;=$E92),1,IF(AND($F92&gt;0,BJ$6=$F92),"◆",""))</f>
        <v/>
      </c>
      <c r="BK92" s="78" t="str">
        <f>IF(AND($D92&gt;0,BK$6&gt;=$D92,BK$6&lt;=$E92),1,IF(AND($F92&gt;0,BK$6=$F92),"◆",""))</f>
        <v/>
      </c>
      <c r="BL92" s="78" t="str">
        <f>IF(AND($D92&gt;0,BL$6&gt;=$D92,BL$6&lt;=$E92),1,IF(AND($F92&gt;0,BL$6=$F92),"◆",""))</f>
        <v/>
      </c>
      <c r="BM92" s="78" t="str">
        <f>IF(AND($D92&gt;0,BM$6&gt;=$D92,BM$6&lt;=$E92),1,IF(AND($F92&gt;0,BM$6=$F92),"◆",""))</f>
        <v/>
      </c>
      <c r="BN92" s="78" t="str">
        <f>IF(AND($D92&gt;0,BN$6&gt;=$D92,BN$6&lt;=$E92),1,IF(AND($F92&gt;0,BN$6=$F92),"◆",""))</f>
        <v/>
      </c>
      <c r="BO92" s="78" t="str">
        <f>IF(AND($D92&gt;0,BO$6&gt;=$D92,BO$6&lt;=$E92),1,IF(AND($F92&gt;0,BO$6=$F92),"◆",""))</f>
        <v/>
      </c>
      <c r="BP92" s="78" t="str">
        <f>IF(AND($D92&gt;0,BP$6&gt;=$D92,BP$6&lt;=$E92),1,IF(AND($F92&gt;0,BP$6=$F92),"◆",""))</f>
        <v/>
      </c>
    </row>
    <row r="93">
      <c r="A93" s="75" t="str">
        <f>IF(INDEX(of_ref,87)="","",INDEX(of_num,87)&amp;"")</f>
        <v/>
      </c>
      <c r="B93" s="75" t="str">
        <f>IF(INDEX(of_ref,87)="","",INDEX(of_des,87)&amp;"")</f>
        <v/>
      </c>
      <c r="C93" s="76" t="str">
        <f>IF(INDEX(of_ref,87)="","",INDEX(of_poste,87)&amp;"")</f>
        <v/>
      </c>
      <c r="D93" s="77">
        <f>INDEX(of_start,87)</f>
        <v>0.0</v>
      </c>
      <c r="E93" s="77">
        <f>INDEX(of_end,87)</f>
        <v>0.0</v>
      </c>
      <c r="F93" s="77">
        <f>IF(N(INDEX(of_need,87))=0,0,INDEX(of_need,87))</f>
        <v>0.0</v>
      </c>
      <c r="G93" s="76" t="str">
        <f>IF(INDEX(of_ref,87)="","",INDEX(of_etat,87)&amp;"")</f>
        <v/>
      </c>
      <c r="I93" s="78" t="str">
        <f>IF(AND($D93&gt;0,I$6&gt;=$D93,I$6&lt;=$E93),1,IF(AND($F93&gt;0,I$6=$F93),"◆",""))</f>
        <v/>
      </c>
      <c r="J93" s="78" t="str">
        <f>IF(AND($D93&gt;0,J$6&gt;=$D93,J$6&lt;=$E93),1,IF(AND($F93&gt;0,J$6=$F93),"◆",""))</f>
        <v/>
      </c>
      <c r="K93" s="78" t="str">
        <f>IF(AND($D93&gt;0,K$6&gt;=$D93,K$6&lt;=$E93),1,IF(AND($F93&gt;0,K$6=$F93),"◆",""))</f>
        <v/>
      </c>
      <c r="L93" s="78" t="str">
        <f>IF(AND($D93&gt;0,L$6&gt;=$D93,L$6&lt;=$E93),1,IF(AND($F93&gt;0,L$6=$F93),"◆",""))</f>
        <v/>
      </c>
      <c r="M93" s="78" t="str">
        <f>IF(AND($D93&gt;0,M$6&gt;=$D93,M$6&lt;=$E93),1,IF(AND($F93&gt;0,M$6=$F93),"◆",""))</f>
        <v/>
      </c>
      <c r="N93" s="78" t="str">
        <f>IF(AND($D93&gt;0,N$6&gt;=$D93,N$6&lt;=$E93),1,IF(AND($F93&gt;0,N$6=$F93),"◆",""))</f>
        <v/>
      </c>
      <c r="O93" s="78" t="str">
        <f>IF(AND($D93&gt;0,O$6&gt;=$D93,O$6&lt;=$E93),1,IF(AND($F93&gt;0,O$6=$F93),"◆",""))</f>
        <v/>
      </c>
      <c r="P93" s="78" t="str">
        <f>IF(AND($D93&gt;0,P$6&gt;=$D93,P$6&lt;=$E93),1,IF(AND($F93&gt;0,P$6=$F93),"◆",""))</f>
        <v/>
      </c>
      <c r="Q93" s="78" t="str">
        <f>IF(AND($D93&gt;0,Q$6&gt;=$D93,Q$6&lt;=$E93),1,IF(AND($F93&gt;0,Q$6=$F93),"◆",""))</f>
        <v/>
      </c>
      <c r="R93" s="78" t="str">
        <f>IF(AND($D93&gt;0,R$6&gt;=$D93,R$6&lt;=$E93),1,IF(AND($F93&gt;0,R$6=$F93),"◆",""))</f>
        <v/>
      </c>
      <c r="S93" s="78" t="str">
        <f>IF(AND($D93&gt;0,S$6&gt;=$D93,S$6&lt;=$E93),1,IF(AND($F93&gt;0,S$6=$F93),"◆",""))</f>
        <v/>
      </c>
      <c r="T93" s="78" t="str">
        <f>IF(AND($D93&gt;0,T$6&gt;=$D93,T$6&lt;=$E93),1,IF(AND($F93&gt;0,T$6=$F93),"◆",""))</f>
        <v/>
      </c>
      <c r="U93" s="78" t="str">
        <f>IF(AND($D93&gt;0,U$6&gt;=$D93,U$6&lt;=$E93),1,IF(AND($F93&gt;0,U$6=$F93),"◆",""))</f>
        <v/>
      </c>
      <c r="V93" s="78" t="str">
        <f>IF(AND($D93&gt;0,V$6&gt;=$D93,V$6&lt;=$E93),1,IF(AND($F93&gt;0,V$6=$F93),"◆",""))</f>
        <v/>
      </c>
      <c r="W93" s="78" t="str">
        <f>IF(AND($D93&gt;0,W$6&gt;=$D93,W$6&lt;=$E93),1,IF(AND($F93&gt;0,W$6=$F93),"◆",""))</f>
        <v/>
      </c>
      <c r="X93" s="78" t="str">
        <f>IF(AND($D93&gt;0,X$6&gt;=$D93,X$6&lt;=$E93),1,IF(AND($F93&gt;0,X$6=$F93),"◆",""))</f>
        <v/>
      </c>
      <c r="Y93" s="78" t="str">
        <f>IF(AND($D93&gt;0,Y$6&gt;=$D93,Y$6&lt;=$E93),1,IF(AND($F93&gt;0,Y$6=$F93),"◆",""))</f>
        <v/>
      </c>
      <c r="Z93" s="78" t="str">
        <f>IF(AND($D93&gt;0,Z$6&gt;=$D93,Z$6&lt;=$E93),1,IF(AND($F93&gt;0,Z$6=$F93),"◆",""))</f>
        <v/>
      </c>
      <c r="AA93" s="78" t="str">
        <f>IF(AND($D93&gt;0,AA$6&gt;=$D93,AA$6&lt;=$E93),1,IF(AND($F93&gt;0,AA$6=$F93),"◆",""))</f>
        <v/>
      </c>
      <c r="AB93" s="78" t="str">
        <f>IF(AND($D93&gt;0,AB$6&gt;=$D93,AB$6&lt;=$E93),1,IF(AND($F93&gt;0,AB$6=$F93),"◆",""))</f>
        <v/>
      </c>
      <c r="AC93" s="78" t="str">
        <f>IF(AND($D93&gt;0,AC$6&gt;=$D93,AC$6&lt;=$E93),1,IF(AND($F93&gt;0,AC$6=$F93),"◆",""))</f>
        <v/>
      </c>
      <c r="AD93" s="78" t="str">
        <f>IF(AND($D93&gt;0,AD$6&gt;=$D93,AD$6&lt;=$E93),1,IF(AND($F93&gt;0,AD$6=$F93),"◆",""))</f>
        <v/>
      </c>
      <c r="AE93" s="78" t="str">
        <f>IF(AND($D93&gt;0,AE$6&gt;=$D93,AE$6&lt;=$E93),1,IF(AND($F93&gt;0,AE$6=$F93),"◆",""))</f>
        <v/>
      </c>
      <c r="AF93" s="78" t="str">
        <f>IF(AND($D93&gt;0,AF$6&gt;=$D93,AF$6&lt;=$E93),1,IF(AND($F93&gt;0,AF$6=$F93),"◆",""))</f>
        <v/>
      </c>
      <c r="AG93" s="78" t="str">
        <f>IF(AND($D93&gt;0,AG$6&gt;=$D93,AG$6&lt;=$E93),1,IF(AND($F93&gt;0,AG$6=$F93),"◆",""))</f>
        <v/>
      </c>
      <c r="AH93" s="78" t="str">
        <f>IF(AND($D93&gt;0,AH$6&gt;=$D93,AH$6&lt;=$E93),1,IF(AND($F93&gt;0,AH$6=$F93),"◆",""))</f>
        <v/>
      </c>
      <c r="AI93" s="78" t="str">
        <f>IF(AND($D93&gt;0,AI$6&gt;=$D93,AI$6&lt;=$E93),1,IF(AND($F93&gt;0,AI$6=$F93),"◆",""))</f>
        <v/>
      </c>
      <c r="AJ93" s="78" t="str">
        <f>IF(AND($D93&gt;0,AJ$6&gt;=$D93,AJ$6&lt;=$E93),1,IF(AND($F93&gt;0,AJ$6=$F93),"◆",""))</f>
        <v/>
      </c>
      <c r="AK93" s="78" t="str">
        <f>IF(AND($D93&gt;0,AK$6&gt;=$D93,AK$6&lt;=$E93),1,IF(AND($F93&gt;0,AK$6=$F93),"◆",""))</f>
        <v/>
      </c>
      <c r="AL93" s="78" t="str">
        <f>IF(AND($D93&gt;0,AL$6&gt;=$D93,AL$6&lt;=$E93),1,IF(AND($F93&gt;0,AL$6=$F93),"◆",""))</f>
        <v/>
      </c>
      <c r="AM93" s="78" t="str">
        <f>IF(AND($D93&gt;0,AM$6&gt;=$D93,AM$6&lt;=$E93),1,IF(AND($F93&gt;0,AM$6=$F93),"◆",""))</f>
        <v/>
      </c>
      <c r="AN93" s="78" t="str">
        <f>IF(AND($D93&gt;0,AN$6&gt;=$D93,AN$6&lt;=$E93),1,IF(AND($F93&gt;0,AN$6=$F93),"◆",""))</f>
        <v/>
      </c>
      <c r="AO93" s="78" t="str">
        <f>IF(AND($D93&gt;0,AO$6&gt;=$D93,AO$6&lt;=$E93),1,IF(AND($F93&gt;0,AO$6=$F93),"◆",""))</f>
        <v/>
      </c>
      <c r="AP93" s="78" t="str">
        <f>IF(AND($D93&gt;0,AP$6&gt;=$D93,AP$6&lt;=$E93),1,IF(AND($F93&gt;0,AP$6=$F93),"◆",""))</f>
        <v/>
      </c>
      <c r="AQ93" s="78" t="str">
        <f>IF(AND($D93&gt;0,AQ$6&gt;=$D93,AQ$6&lt;=$E93),1,IF(AND($F93&gt;0,AQ$6=$F93),"◆",""))</f>
        <v/>
      </c>
      <c r="AR93" s="78" t="str">
        <f>IF(AND($D93&gt;0,AR$6&gt;=$D93,AR$6&lt;=$E93),1,IF(AND($F93&gt;0,AR$6=$F93),"◆",""))</f>
        <v/>
      </c>
      <c r="AS93" s="78" t="str">
        <f>IF(AND($D93&gt;0,AS$6&gt;=$D93,AS$6&lt;=$E93),1,IF(AND($F93&gt;0,AS$6=$F93),"◆",""))</f>
        <v/>
      </c>
      <c r="AT93" s="78" t="str">
        <f>IF(AND($D93&gt;0,AT$6&gt;=$D93,AT$6&lt;=$E93),1,IF(AND($F93&gt;0,AT$6=$F93),"◆",""))</f>
        <v/>
      </c>
      <c r="AU93" s="78" t="str">
        <f>IF(AND($D93&gt;0,AU$6&gt;=$D93,AU$6&lt;=$E93),1,IF(AND($F93&gt;0,AU$6=$F93),"◆",""))</f>
        <v/>
      </c>
      <c r="AV93" s="78" t="str">
        <f>IF(AND($D93&gt;0,AV$6&gt;=$D93,AV$6&lt;=$E93),1,IF(AND($F93&gt;0,AV$6=$F93),"◆",""))</f>
        <v/>
      </c>
      <c r="AW93" s="78" t="str">
        <f>IF(AND($D93&gt;0,AW$6&gt;=$D93,AW$6&lt;=$E93),1,IF(AND($F93&gt;0,AW$6=$F93),"◆",""))</f>
        <v/>
      </c>
      <c r="AX93" s="78" t="str">
        <f>IF(AND($D93&gt;0,AX$6&gt;=$D93,AX$6&lt;=$E93),1,IF(AND($F93&gt;0,AX$6=$F93),"◆",""))</f>
        <v/>
      </c>
      <c r="AY93" s="78" t="str">
        <f>IF(AND($D93&gt;0,AY$6&gt;=$D93,AY$6&lt;=$E93),1,IF(AND($F93&gt;0,AY$6=$F93),"◆",""))</f>
        <v/>
      </c>
      <c r="AZ93" s="78" t="str">
        <f>IF(AND($D93&gt;0,AZ$6&gt;=$D93,AZ$6&lt;=$E93),1,IF(AND($F93&gt;0,AZ$6=$F93),"◆",""))</f>
        <v/>
      </c>
      <c r="BA93" s="78" t="str">
        <f>IF(AND($D93&gt;0,BA$6&gt;=$D93,BA$6&lt;=$E93),1,IF(AND($F93&gt;0,BA$6=$F93),"◆",""))</f>
        <v/>
      </c>
      <c r="BB93" s="78" t="str">
        <f>IF(AND($D93&gt;0,BB$6&gt;=$D93,BB$6&lt;=$E93),1,IF(AND($F93&gt;0,BB$6=$F93),"◆",""))</f>
        <v/>
      </c>
      <c r="BC93" s="78" t="str">
        <f>IF(AND($D93&gt;0,BC$6&gt;=$D93,BC$6&lt;=$E93),1,IF(AND($F93&gt;0,BC$6=$F93),"◆",""))</f>
        <v/>
      </c>
      <c r="BD93" s="78" t="str">
        <f>IF(AND($D93&gt;0,BD$6&gt;=$D93,BD$6&lt;=$E93),1,IF(AND($F93&gt;0,BD$6=$F93),"◆",""))</f>
        <v/>
      </c>
      <c r="BE93" s="78" t="str">
        <f>IF(AND($D93&gt;0,BE$6&gt;=$D93,BE$6&lt;=$E93),1,IF(AND($F93&gt;0,BE$6=$F93),"◆",""))</f>
        <v/>
      </c>
      <c r="BF93" s="78" t="str">
        <f>IF(AND($D93&gt;0,BF$6&gt;=$D93,BF$6&lt;=$E93),1,IF(AND($F93&gt;0,BF$6=$F93),"◆",""))</f>
        <v/>
      </c>
      <c r="BG93" s="78" t="str">
        <f>IF(AND($D93&gt;0,BG$6&gt;=$D93,BG$6&lt;=$E93),1,IF(AND($F93&gt;0,BG$6=$F93),"◆",""))</f>
        <v/>
      </c>
      <c r="BH93" s="78" t="str">
        <f>IF(AND($D93&gt;0,BH$6&gt;=$D93,BH$6&lt;=$E93),1,IF(AND($F93&gt;0,BH$6=$F93),"◆",""))</f>
        <v/>
      </c>
      <c r="BI93" s="78" t="str">
        <f>IF(AND($D93&gt;0,BI$6&gt;=$D93,BI$6&lt;=$E93),1,IF(AND($F93&gt;0,BI$6=$F93),"◆",""))</f>
        <v/>
      </c>
      <c r="BJ93" s="78" t="str">
        <f>IF(AND($D93&gt;0,BJ$6&gt;=$D93,BJ$6&lt;=$E93),1,IF(AND($F93&gt;0,BJ$6=$F93),"◆",""))</f>
        <v/>
      </c>
      <c r="BK93" s="78" t="str">
        <f>IF(AND($D93&gt;0,BK$6&gt;=$D93,BK$6&lt;=$E93),1,IF(AND($F93&gt;0,BK$6=$F93),"◆",""))</f>
        <v/>
      </c>
      <c r="BL93" s="78" t="str">
        <f>IF(AND($D93&gt;0,BL$6&gt;=$D93,BL$6&lt;=$E93),1,IF(AND($F93&gt;0,BL$6=$F93),"◆",""))</f>
        <v/>
      </c>
      <c r="BM93" s="78" t="str">
        <f>IF(AND($D93&gt;0,BM$6&gt;=$D93,BM$6&lt;=$E93),1,IF(AND($F93&gt;0,BM$6=$F93),"◆",""))</f>
        <v/>
      </c>
      <c r="BN93" s="78" t="str">
        <f>IF(AND($D93&gt;0,BN$6&gt;=$D93,BN$6&lt;=$E93),1,IF(AND($F93&gt;0,BN$6=$F93),"◆",""))</f>
        <v/>
      </c>
      <c r="BO93" s="78" t="str">
        <f>IF(AND($D93&gt;0,BO$6&gt;=$D93,BO$6&lt;=$E93),1,IF(AND($F93&gt;0,BO$6=$F93),"◆",""))</f>
        <v/>
      </c>
      <c r="BP93" s="78" t="str">
        <f>IF(AND($D93&gt;0,BP$6&gt;=$D93,BP$6&lt;=$E93),1,IF(AND($F93&gt;0,BP$6=$F93),"◆",""))</f>
        <v/>
      </c>
    </row>
    <row r="94">
      <c r="A94" s="75" t="str">
        <f>IF(INDEX(of_ref,88)="","",INDEX(of_num,88)&amp;"")</f>
        <v/>
      </c>
      <c r="B94" s="75" t="str">
        <f>IF(INDEX(of_ref,88)="","",INDEX(of_des,88)&amp;"")</f>
        <v/>
      </c>
      <c r="C94" s="76" t="str">
        <f>IF(INDEX(of_ref,88)="","",INDEX(of_poste,88)&amp;"")</f>
        <v/>
      </c>
      <c r="D94" s="77">
        <f>INDEX(of_start,88)</f>
        <v>0.0</v>
      </c>
      <c r="E94" s="77">
        <f>INDEX(of_end,88)</f>
        <v>0.0</v>
      </c>
      <c r="F94" s="77">
        <f>IF(N(INDEX(of_need,88))=0,0,INDEX(of_need,88))</f>
        <v>0.0</v>
      </c>
      <c r="G94" s="76" t="str">
        <f>IF(INDEX(of_ref,88)="","",INDEX(of_etat,88)&amp;"")</f>
        <v/>
      </c>
      <c r="I94" s="78" t="str">
        <f>IF(AND($D94&gt;0,I$6&gt;=$D94,I$6&lt;=$E94),1,IF(AND($F94&gt;0,I$6=$F94),"◆",""))</f>
        <v/>
      </c>
      <c r="J94" s="78" t="str">
        <f>IF(AND($D94&gt;0,J$6&gt;=$D94,J$6&lt;=$E94),1,IF(AND($F94&gt;0,J$6=$F94),"◆",""))</f>
        <v/>
      </c>
      <c r="K94" s="78" t="str">
        <f>IF(AND($D94&gt;0,K$6&gt;=$D94,K$6&lt;=$E94),1,IF(AND($F94&gt;0,K$6=$F94),"◆",""))</f>
        <v/>
      </c>
      <c r="L94" s="78" t="str">
        <f>IF(AND($D94&gt;0,L$6&gt;=$D94,L$6&lt;=$E94),1,IF(AND($F94&gt;0,L$6=$F94),"◆",""))</f>
        <v/>
      </c>
      <c r="M94" s="78" t="str">
        <f>IF(AND($D94&gt;0,M$6&gt;=$D94,M$6&lt;=$E94),1,IF(AND($F94&gt;0,M$6=$F94),"◆",""))</f>
        <v/>
      </c>
      <c r="N94" s="78" t="str">
        <f>IF(AND($D94&gt;0,N$6&gt;=$D94,N$6&lt;=$E94),1,IF(AND($F94&gt;0,N$6=$F94),"◆",""))</f>
        <v/>
      </c>
      <c r="O94" s="78" t="str">
        <f>IF(AND($D94&gt;0,O$6&gt;=$D94,O$6&lt;=$E94),1,IF(AND($F94&gt;0,O$6=$F94),"◆",""))</f>
        <v/>
      </c>
      <c r="P94" s="78" t="str">
        <f>IF(AND($D94&gt;0,P$6&gt;=$D94,P$6&lt;=$E94),1,IF(AND($F94&gt;0,P$6=$F94),"◆",""))</f>
        <v/>
      </c>
      <c r="Q94" s="78" t="str">
        <f>IF(AND($D94&gt;0,Q$6&gt;=$D94,Q$6&lt;=$E94),1,IF(AND($F94&gt;0,Q$6=$F94),"◆",""))</f>
        <v/>
      </c>
      <c r="R94" s="78" t="str">
        <f>IF(AND($D94&gt;0,R$6&gt;=$D94,R$6&lt;=$E94),1,IF(AND($F94&gt;0,R$6=$F94),"◆",""))</f>
        <v/>
      </c>
      <c r="S94" s="78" t="str">
        <f>IF(AND($D94&gt;0,S$6&gt;=$D94,S$6&lt;=$E94),1,IF(AND($F94&gt;0,S$6=$F94),"◆",""))</f>
        <v/>
      </c>
      <c r="T94" s="78" t="str">
        <f>IF(AND($D94&gt;0,T$6&gt;=$D94,T$6&lt;=$E94),1,IF(AND($F94&gt;0,T$6=$F94),"◆",""))</f>
        <v/>
      </c>
      <c r="U94" s="78" t="str">
        <f>IF(AND($D94&gt;0,U$6&gt;=$D94,U$6&lt;=$E94),1,IF(AND($F94&gt;0,U$6=$F94),"◆",""))</f>
        <v/>
      </c>
      <c r="V94" s="78" t="str">
        <f>IF(AND($D94&gt;0,V$6&gt;=$D94,V$6&lt;=$E94),1,IF(AND($F94&gt;0,V$6=$F94),"◆",""))</f>
        <v/>
      </c>
      <c r="W94" s="78" t="str">
        <f>IF(AND($D94&gt;0,W$6&gt;=$D94,W$6&lt;=$E94),1,IF(AND($F94&gt;0,W$6=$F94),"◆",""))</f>
        <v/>
      </c>
      <c r="X94" s="78" t="str">
        <f>IF(AND($D94&gt;0,X$6&gt;=$D94,X$6&lt;=$E94),1,IF(AND($F94&gt;0,X$6=$F94),"◆",""))</f>
        <v/>
      </c>
      <c r="Y94" s="78" t="str">
        <f>IF(AND($D94&gt;0,Y$6&gt;=$D94,Y$6&lt;=$E94),1,IF(AND($F94&gt;0,Y$6=$F94),"◆",""))</f>
        <v/>
      </c>
      <c r="Z94" s="78" t="str">
        <f>IF(AND($D94&gt;0,Z$6&gt;=$D94,Z$6&lt;=$E94),1,IF(AND($F94&gt;0,Z$6=$F94),"◆",""))</f>
        <v/>
      </c>
      <c r="AA94" s="78" t="str">
        <f>IF(AND($D94&gt;0,AA$6&gt;=$D94,AA$6&lt;=$E94),1,IF(AND($F94&gt;0,AA$6=$F94),"◆",""))</f>
        <v/>
      </c>
      <c r="AB94" s="78" t="str">
        <f>IF(AND($D94&gt;0,AB$6&gt;=$D94,AB$6&lt;=$E94),1,IF(AND($F94&gt;0,AB$6=$F94),"◆",""))</f>
        <v/>
      </c>
      <c r="AC94" s="78" t="str">
        <f>IF(AND($D94&gt;0,AC$6&gt;=$D94,AC$6&lt;=$E94),1,IF(AND($F94&gt;0,AC$6=$F94),"◆",""))</f>
        <v/>
      </c>
      <c r="AD94" s="78" t="str">
        <f>IF(AND($D94&gt;0,AD$6&gt;=$D94,AD$6&lt;=$E94),1,IF(AND($F94&gt;0,AD$6=$F94),"◆",""))</f>
        <v/>
      </c>
      <c r="AE94" s="78" t="str">
        <f>IF(AND($D94&gt;0,AE$6&gt;=$D94,AE$6&lt;=$E94),1,IF(AND($F94&gt;0,AE$6=$F94),"◆",""))</f>
        <v/>
      </c>
      <c r="AF94" s="78" t="str">
        <f>IF(AND($D94&gt;0,AF$6&gt;=$D94,AF$6&lt;=$E94),1,IF(AND($F94&gt;0,AF$6=$F94),"◆",""))</f>
        <v/>
      </c>
      <c r="AG94" s="78" t="str">
        <f>IF(AND($D94&gt;0,AG$6&gt;=$D94,AG$6&lt;=$E94),1,IF(AND($F94&gt;0,AG$6=$F94),"◆",""))</f>
        <v/>
      </c>
      <c r="AH94" s="78" t="str">
        <f>IF(AND($D94&gt;0,AH$6&gt;=$D94,AH$6&lt;=$E94),1,IF(AND($F94&gt;0,AH$6=$F94),"◆",""))</f>
        <v/>
      </c>
      <c r="AI94" s="78" t="str">
        <f>IF(AND($D94&gt;0,AI$6&gt;=$D94,AI$6&lt;=$E94),1,IF(AND($F94&gt;0,AI$6=$F94),"◆",""))</f>
        <v/>
      </c>
      <c r="AJ94" s="78" t="str">
        <f>IF(AND($D94&gt;0,AJ$6&gt;=$D94,AJ$6&lt;=$E94),1,IF(AND($F94&gt;0,AJ$6=$F94),"◆",""))</f>
        <v/>
      </c>
      <c r="AK94" s="78" t="str">
        <f>IF(AND($D94&gt;0,AK$6&gt;=$D94,AK$6&lt;=$E94),1,IF(AND($F94&gt;0,AK$6=$F94),"◆",""))</f>
        <v/>
      </c>
      <c r="AL94" s="78" t="str">
        <f>IF(AND($D94&gt;0,AL$6&gt;=$D94,AL$6&lt;=$E94),1,IF(AND($F94&gt;0,AL$6=$F94),"◆",""))</f>
        <v/>
      </c>
      <c r="AM94" s="78" t="str">
        <f>IF(AND($D94&gt;0,AM$6&gt;=$D94,AM$6&lt;=$E94),1,IF(AND($F94&gt;0,AM$6=$F94),"◆",""))</f>
        <v/>
      </c>
      <c r="AN94" s="78" t="str">
        <f>IF(AND($D94&gt;0,AN$6&gt;=$D94,AN$6&lt;=$E94),1,IF(AND($F94&gt;0,AN$6=$F94),"◆",""))</f>
        <v/>
      </c>
      <c r="AO94" s="78" t="str">
        <f>IF(AND($D94&gt;0,AO$6&gt;=$D94,AO$6&lt;=$E94),1,IF(AND($F94&gt;0,AO$6=$F94),"◆",""))</f>
        <v/>
      </c>
      <c r="AP94" s="78" t="str">
        <f>IF(AND($D94&gt;0,AP$6&gt;=$D94,AP$6&lt;=$E94),1,IF(AND($F94&gt;0,AP$6=$F94),"◆",""))</f>
        <v/>
      </c>
      <c r="AQ94" s="78" t="str">
        <f>IF(AND($D94&gt;0,AQ$6&gt;=$D94,AQ$6&lt;=$E94),1,IF(AND($F94&gt;0,AQ$6=$F94),"◆",""))</f>
        <v/>
      </c>
      <c r="AR94" s="78" t="str">
        <f>IF(AND($D94&gt;0,AR$6&gt;=$D94,AR$6&lt;=$E94),1,IF(AND($F94&gt;0,AR$6=$F94),"◆",""))</f>
        <v/>
      </c>
      <c r="AS94" s="78" t="str">
        <f>IF(AND($D94&gt;0,AS$6&gt;=$D94,AS$6&lt;=$E94),1,IF(AND($F94&gt;0,AS$6=$F94),"◆",""))</f>
        <v/>
      </c>
      <c r="AT94" s="78" t="str">
        <f>IF(AND($D94&gt;0,AT$6&gt;=$D94,AT$6&lt;=$E94),1,IF(AND($F94&gt;0,AT$6=$F94),"◆",""))</f>
        <v/>
      </c>
      <c r="AU94" s="78" t="str">
        <f>IF(AND($D94&gt;0,AU$6&gt;=$D94,AU$6&lt;=$E94),1,IF(AND($F94&gt;0,AU$6=$F94),"◆",""))</f>
        <v/>
      </c>
      <c r="AV94" s="78" t="str">
        <f>IF(AND($D94&gt;0,AV$6&gt;=$D94,AV$6&lt;=$E94),1,IF(AND($F94&gt;0,AV$6=$F94),"◆",""))</f>
        <v/>
      </c>
      <c r="AW94" s="78" t="str">
        <f>IF(AND($D94&gt;0,AW$6&gt;=$D94,AW$6&lt;=$E94),1,IF(AND($F94&gt;0,AW$6=$F94),"◆",""))</f>
        <v/>
      </c>
      <c r="AX94" s="78" t="str">
        <f>IF(AND($D94&gt;0,AX$6&gt;=$D94,AX$6&lt;=$E94),1,IF(AND($F94&gt;0,AX$6=$F94),"◆",""))</f>
        <v/>
      </c>
      <c r="AY94" s="78" t="str">
        <f>IF(AND($D94&gt;0,AY$6&gt;=$D94,AY$6&lt;=$E94),1,IF(AND($F94&gt;0,AY$6=$F94),"◆",""))</f>
        <v/>
      </c>
      <c r="AZ94" s="78" t="str">
        <f>IF(AND($D94&gt;0,AZ$6&gt;=$D94,AZ$6&lt;=$E94),1,IF(AND($F94&gt;0,AZ$6=$F94),"◆",""))</f>
        <v/>
      </c>
      <c r="BA94" s="78" t="str">
        <f>IF(AND($D94&gt;0,BA$6&gt;=$D94,BA$6&lt;=$E94),1,IF(AND($F94&gt;0,BA$6=$F94),"◆",""))</f>
        <v/>
      </c>
      <c r="BB94" s="78" t="str">
        <f>IF(AND($D94&gt;0,BB$6&gt;=$D94,BB$6&lt;=$E94),1,IF(AND($F94&gt;0,BB$6=$F94),"◆",""))</f>
        <v/>
      </c>
      <c r="BC94" s="78" t="str">
        <f>IF(AND($D94&gt;0,BC$6&gt;=$D94,BC$6&lt;=$E94),1,IF(AND($F94&gt;0,BC$6=$F94),"◆",""))</f>
        <v/>
      </c>
      <c r="BD94" s="78" t="str">
        <f>IF(AND($D94&gt;0,BD$6&gt;=$D94,BD$6&lt;=$E94),1,IF(AND($F94&gt;0,BD$6=$F94),"◆",""))</f>
        <v/>
      </c>
      <c r="BE94" s="78" t="str">
        <f>IF(AND($D94&gt;0,BE$6&gt;=$D94,BE$6&lt;=$E94),1,IF(AND($F94&gt;0,BE$6=$F94),"◆",""))</f>
        <v/>
      </c>
      <c r="BF94" s="78" t="str">
        <f>IF(AND($D94&gt;0,BF$6&gt;=$D94,BF$6&lt;=$E94),1,IF(AND($F94&gt;0,BF$6=$F94),"◆",""))</f>
        <v/>
      </c>
      <c r="BG94" s="78" t="str">
        <f>IF(AND($D94&gt;0,BG$6&gt;=$D94,BG$6&lt;=$E94),1,IF(AND($F94&gt;0,BG$6=$F94),"◆",""))</f>
        <v/>
      </c>
      <c r="BH94" s="78" t="str">
        <f>IF(AND($D94&gt;0,BH$6&gt;=$D94,BH$6&lt;=$E94),1,IF(AND($F94&gt;0,BH$6=$F94),"◆",""))</f>
        <v/>
      </c>
      <c r="BI94" s="78" t="str">
        <f>IF(AND($D94&gt;0,BI$6&gt;=$D94,BI$6&lt;=$E94),1,IF(AND($F94&gt;0,BI$6=$F94),"◆",""))</f>
        <v/>
      </c>
      <c r="BJ94" s="78" t="str">
        <f>IF(AND($D94&gt;0,BJ$6&gt;=$D94,BJ$6&lt;=$E94),1,IF(AND($F94&gt;0,BJ$6=$F94),"◆",""))</f>
        <v/>
      </c>
      <c r="BK94" s="78" t="str">
        <f>IF(AND($D94&gt;0,BK$6&gt;=$D94,BK$6&lt;=$E94),1,IF(AND($F94&gt;0,BK$6=$F94),"◆",""))</f>
        <v/>
      </c>
      <c r="BL94" s="78" t="str">
        <f>IF(AND($D94&gt;0,BL$6&gt;=$D94,BL$6&lt;=$E94),1,IF(AND($F94&gt;0,BL$6=$F94),"◆",""))</f>
        <v/>
      </c>
      <c r="BM94" s="78" t="str">
        <f>IF(AND($D94&gt;0,BM$6&gt;=$D94,BM$6&lt;=$E94),1,IF(AND($F94&gt;0,BM$6=$F94),"◆",""))</f>
        <v/>
      </c>
      <c r="BN94" s="78" t="str">
        <f>IF(AND($D94&gt;0,BN$6&gt;=$D94,BN$6&lt;=$E94),1,IF(AND($F94&gt;0,BN$6=$F94),"◆",""))</f>
        <v/>
      </c>
      <c r="BO94" s="78" t="str">
        <f>IF(AND($D94&gt;0,BO$6&gt;=$D94,BO$6&lt;=$E94),1,IF(AND($F94&gt;0,BO$6=$F94),"◆",""))</f>
        <v/>
      </c>
      <c r="BP94" s="78" t="str">
        <f>IF(AND($D94&gt;0,BP$6&gt;=$D94,BP$6&lt;=$E94),1,IF(AND($F94&gt;0,BP$6=$F94),"◆",""))</f>
        <v/>
      </c>
    </row>
    <row r="95">
      <c r="A95" s="75" t="str">
        <f>IF(INDEX(of_ref,89)="","",INDEX(of_num,89)&amp;"")</f>
        <v/>
      </c>
      <c r="B95" s="75" t="str">
        <f>IF(INDEX(of_ref,89)="","",INDEX(of_des,89)&amp;"")</f>
        <v/>
      </c>
      <c r="C95" s="76" t="str">
        <f>IF(INDEX(of_ref,89)="","",INDEX(of_poste,89)&amp;"")</f>
        <v/>
      </c>
      <c r="D95" s="77">
        <f>INDEX(of_start,89)</f>
        <v>0.0</v>
      </c>
      <c r="E95" s="77">
        <f>INDEX(of_end,89)</f>
        <v>0.0</v>
      </c>
      <c r="F95" s="77">
        <f>IF(N(INDEX(of_need,89))=0,0,INDEX(of_need,89))</f>
        <v>0.0</v>
      </c>
      <c r="G95" s="76" t="str">
        <f>IF(INDEX(of_ref,89)="","",INDEX(of_etat,89)&amp;"")</f>
        <v/>
      </c>
      <c r="I95" s="78" t="str">
        <f>IF(AND($D95&gt;0,I$6&gt;=$D95,I$6&lt;=$E95),1,IF(AND($F95&gt;0,I$6=$F95),"◆",""))</f>
        <v/>
      </c>
      <c r="J95" s="78" t="str">
        <f>IF(AND($D95&gt;0,J$6&gt;=$D95,J$6&lt;=$E95),1,IF(AND($F95&gt;0,J$6=$F95),"◆",""))</f>
        <v/>
      </c>
      <c r="K95" s="78" t="str">
        <f>IF(AND($D95&gt;0,K$6&gt;=$D95,K$6&lt;=$E95),1,IF(AND($F95&gt;0,K$6=$F95),"◆",""))</f>
        <v/>
      </c>
      <c r="L95" s="78" t="str">
        <f>IF(AND($D95&gt;0,L$6&gt;=$D95,L$6&lt;=$E95),1,IF(AND($F95&gt;0,L$6=$F95),"◆",""))</f>
        <v/>
      </c>
      <c r="M95" s="78" t="str">
        <f>IF(AND($D95&gt;0,M$6&gt;=$D95,M$6&lt;=$E95),1,IF(AND($F95&gt;0,M$6=$F95),"◆",""))</f>
        <v/>
      </c>
      <c r="N95" s="78" t="str">
        <f>IF(AND($D95&gt;0,N$6&gt;=$D95,N$6&lt;=$E95),1,IF(AND($F95&gt;0,N$6=$F95),"◆",""))</f>
        <v/>
      </c>
      <c r="O95" s="78" t="str">
        <f>IF(AND($D95&gt;0,O$6&gt;=$D95,O$6&lt;=$E95),1,IF(AND($F95&gt;0,O$6=$F95),"◆",""))</f>
        <v/>
      </c>
      <c r="P95" s="78" t="str">
        <f>IF(AND($D95&gt;0,P$6&gt;=$D95,P$6&lt;=$E95),1,IF(AND($F95&gt;0,P$6=$F95),"◆",""))</f>
        <v/>
      </c>
      <c r="Q95" s="78" t="str">
        <f>IF(AND($D95&gt;0,Q$6&gt;=$D95,Q$6&lt;=$E95),1,IF(AND($F95&gt;0,Q$6=$F95),"◆",""))</f>
        <v/>
      </c>
      <c r="R95" s="78" t="str">
        <f>IF(AND($D95&gt;0,R$6&gt;=$D95,R$6&lt;=$E95),1,IF(AND($F95&gt;0,R$6=$F95),"◆",""))</f>
        <v/>
      </c>
      <c r="S95" s="78" t="str">
        <f>IF(AND($D95&gt;0,S$6&gt;=$D95,S$6&lt;=$E95),1,IF(AND($F95&gt;0,S$6=$F95),"◆",""))</f>
        <v/>
      </c>
      <c r="T95" s="78" t="str">
        <f>IF(AND($D95&gt;0,T$6&gt;=$D95,T$6&lt;=$E95),1,IF(AND($F95&gt;0,T$6=$F95),"◆",""))</f>
        <v/>
      </c>
      <c r="U95" s="78" t="str">
        <f>IF(AND($D95&gt;0,U$6&gt;=$D95,U$6&lt;=$E95),1,IF(AND($F95&gt;0,U$6=$F95),"◆",""))</f>
        <v/>
      </c>
      <c r="V95" s="78" t="str">
        <f>IF(AND($D95&gt;0,V$6&gt;=$D95,V$6&lt;=$E95),1,IF(AND($F95&gt;0,V$6=$F95),"◆",""))</f>
        <v/>
      </c>
      <c r="W95" s="78" t="str">
        <f>IF(AND($D95&gt;0,W$6&gt;=$D95,W$6&lt;=$E95),1,IF(AND($F95&gt;0,W$6=$F95),"◆",""))</f>
        <v/>
      </c>
      <c r="X95" s="78" t="str">
        <f>IF(AND($D95&gt;0,X$6&gt;=$D95,X$6&lt;=$E95),1,IF(AND($F95&gt;0,X$6=$F95),"◆",""))</f>
        <v/>
      </c>
      <c r="Y95" s="78" t="str">
        <f>IF(AND($D95&gt;0,Y$6&gt;=$D95,Y$6&lt;=$E95),1,IF(AND($F95&gt;0,Y$6=$F95),"◆",""))</f>
        <v/>
      </c>
      <c r="Z95" s="78" t="str">
        <f>IF(AND($D95&gt;0,Z$6&gt;=$D95,Z$6&lt;=$E95),1,IF(AND($F95&gt;0,Z$6=$F95),"◆",""))</f>
        <v/>
      </c>
      <c r="AA95" s="78" t="str">
        <f>IF(AND($D95&gt;0,AA$6&gt;=$D95,AA$6&lt;=$E95),1,IF(AND($F95&gt;0,AA$6=$F95),"◆",""))</f>
        <v/>
      </c>
      <c r="AB95" s="78" t="str">
        <f>IF(AND($D95&gt;0,AB$6&gt;=$D95,AB$6&lt;=$E95),1,IF(AND($F95&gt;0,AB$6=$F95),"◆",""))</f>
        <v/>
      </c>
      <c r="AC95" s="78" t="str">
        <f>IF(AND($D95&gt;0,AC$6&gt;=$D95,AC$6&lt;=$E95),1,IF(AND($F95&gt;0,AC$6=$F95),"◆",""))</f>
        <v/>
      </c>
      <c r="AD95" s="78" t="str">
        <f>IF(AND($D95&gt;0,AD$6&gt;=$D95,AD$6&lt;=$E95),1,IF(AND($F95&gt;0,AD$6=$F95),"◆",""))</f>
        <v/>
      </c>
      <c r="AE95" s="78" t="str">
        <f>IF(AND($D95&gt;0,AE$6&gt;=$D95,AE$6&lt;=$E95),1,IF(AND($F95&gt;0,AE$6=$F95),"◆",""))</f>
        <v/>
      </c>
      <c r="AF95" s="78" t="str">
        <f>IF(AND($D95&gt;0,AF$6&gt;=$D95,AF$6&lt;=$E95),1,IF(AND($F95&gt;0,AF$6=$F95),"◆",""))</f>
        <v/>
      </c>
      <c r="AG95" s="78" t="str">
        <f>IF(AND($D95&gt;0,AG$6&gt;=$D95,AG$6&lt;=$E95),1,IF(AND($F95&gt;0,AG$6=$F95),"◆",""))</f>
        <v/>
      </c>
      <c r="AH95" s="78" t="str">
        <f>IF(AND($D95&gt;0,AH$6&gt;=$D95,AH$6&lt;=$E95),1,IF(AND($F95&gt;0,AH$6=$F95),"◆",""))</f>
        <v/>
      </c>
      <c r="AI95" s="78" t="str">
        <f>IF(AND($D95&gt;0,AI$6&gt;=$D95,AI$6&lt;=$E95),1,IF(AND($F95&gt;0,AI$6=$F95),"◆",""))</f>
        <v/>
      </c>
      <c r="AJ95" s="78" t="str">
        <f>IF(AND($D95&gt;0,AJ$6&gt;=$D95,AJ$6&lt;=$E95),1,IF(AND($F95&gt;0,AJ$6=$F95),"◆",""))</f>
        <v/>
      </c>
      <c r="AK95" s="78" t="str">
        <f>IF(AND($D95&gt;0,AK$6&gt;=$D95,AK$6&lt;=$E95),1,IF(AND($F95&gt;0,AK$6=$F95),"◆",""))</f>
        <v/>
      </c>
      <c r="AL95" s="78" t="str">
        <f>IF(AND($D95&gt;0,AL$6&gt;=$D95,AL$6&lt;=$E95),1,IF(AND($F95&gt;0,AL$6=$F95),"◆",""))</f>
        <v/>
      </c>
      <c r="AM95" s="78" t="str">
        <f>IF(AND($D95&gt;0,AM$6&gt;=$D95,AM$6&lt;=$E95),1,IF(AND($F95&gt;0,AM$6=$F95),"◆",""))</f>
        <v/>
      </c>
      <c r="AN95" s="78" t="str">
        <f>IF(AND($D95&gt;0,AN$6&gt;=$D95,AN$6&lt;=$E95),1,IF(AND($F95&gt;0,AN$6=$F95),"◆",""))</f>
        <v/>
      </c>
      <c r="AO95" s="78" t="str">
        <f>IF(AND($D95&gt;0,AO$6&gt;=$D95,AO$6&lt;=$E95),1,IF(AND($F95&gt;0,AO$6=$F95),"◆",""))</f>
        <v/>
      </c>
      <c r="AP95" s="78" t="str">
        <f>IF(AND($D95&gt;0,AP$6&gt;=$D95,AP$6&lt;=$E95),1,IF(AND($F95&gt;0,AP$6=$F95),"◆",""))</f>
        <v/>
      </c>
      <c r="AQ95" s="78" t="str">
        <f>IF(AND($D95&gt;0,AQ$6&gt;=$D95,AQ$6&lt;=$E95),1,IF(AND($F95&gt;0,AQ$6=$F95),"◆",""))</f>
        <v/>
      </c>
      <c r="AR95" s="78" t="str">
        <f>IF(AND($D95&gt;0,AR$6&gt;=$D95,AR$6&lt;=$E95),1,IF(AND($F95&gt;0,AR$6=$F95),"◆",""))</f>
        <v/>
      </c>
      <c r="AS95" s="78" t="str">
        <f>IF(AND($D95&gt;0,AS$6&gt;=$D95,AS$6&lt;=$E95),1,IF(AND($F95&gt;0,AS$6=$F95),"◆",""))</f>
        <v/>
      </c>
      <c r="AT95" s="78" t="str">
        <f>IF(AND($D95&gt;0,AT$6&gt;=$D95,AT$6&lt;=$E95),1,IF(AND($F95&gt;0,AT$6=$F95),"◆",""))</f>
        <v/>
      </c>
      <c r="AU95" s="78" t="str">
        <f>IF(AND($D95&gt;0,AU$6&gt;=$D95,AU$6&lt;=$E95),1,IF(AND($F95&gt;0,AU$6=$F95),"◆",""))</f>
        <v/>
      </c>
      <c r="AV95" s="78" t="str">
        <f>IF(AND($D95&gt;0,AV$6&gt;=$D95,AV$6&lt;=$E95),1,IF(AND($F95&gt;0,AV$6=$F95),"◆",""))</f>
        <v/>
      </c>
      <c r="AW95" s="78" t="str">
        <f>IF(AND($D95&gt;0,AW$6&gt;=$D95,AW$6&lt;=$E95),1,IF(AND($F95&gt;0,AW$6=$F95),"◆",""))</f>
        <v/>
      </c>
      <c r="AX95" s="78" t="str">
        <f>IF(AND($D95&gt;0,AX$6&gt;=$D95,AX$6&lt;=$E95),1,IF(AND($F95&gt;0,AX$6=$F95),"◆",""))</f>
        <v/>
      </c>
      <c r="AY95" s="78" t="str">
        <f>IF(AND($D95&gt;0,AY$6&gt;=$D95,AY$6&lt;=$E95),1,IF(AND($F95&gt;0,AY$6=$F95),"◆",""))</f>
        <v/>
      </c>
      <c r="AZ95" s="78" t="str">
        <f>IF(AND($D95&gt;0,AZ$6&gt;=$D95,AZ$6&lt;=$E95),1,IF(AND($F95&gt;0,AZ$6=$F95),"◆",""))</f>
        <v/>
      </c>
      <c r="BA95" s="78" t="str">
        <f>IF(AND($D95&gt;0,BA$6&gt;=$D95,BA$6&lt;=$E95),1,IF(AND($F95&gt;0,BA$6=$F95),"◆",""))</f>
        <v/>
      </c>
      <c r="BB95" s="78" t="str">
        <f>IF(AND($D95&gt;0,BB$6&gt;=$D95,BB$6&lt;=$E95),1,IF(AND($F95&gt;0,BB$6=$F95),"◆",""))</f>
        <v/>
      </c>
      <c r="BC95" s="78" t="str">
        <f>IF(AND($D95&gt;0,BC$6&gt;=$D95,BC$6&lt;=$E95),1,IF(AND($F95&gt;0,BC$6=$F95),"◆",""))</f>
        <v/>
      </c>
      <c r="BD95" s="78" t="str">
        <f>IF(AND($D95&gt;0,BD$6&gt;=$D95,BD$6&lt;=$E95),1,IF(AND($F95&gt;0,BD$6=$F95),"◆",""))</f>
        <v/>
      </c>
      <c r="BE95" s="78" t="str">
        <f>IF(AND($D95&gt;0,BE$6&gt;=$D95,BE$6&lt;=$E95),1,IF(AND($F95&gt;0,BE$6=$F95),"◆",""))</f>
        <v/>
      </c>
      <c r="BF95" s="78" t="str">
        <f>IF(AND($D95&gt;0,BF$6&gt;=$D95,BF$6&lt;=$E95),1,IF(AND($F95&gt;0,BF$6=$F95),"◆",""))</f>
        <v/>
      </c>
      <c r="BG95" s="78" t="str">
        <f>IF(AND($D95&gt;0,BG$6&gt;=$D95,BG$6&lt;=$E95),1,IF(AND($F95&gt;0,BG$6=$F95),"◆",""))</f>
        <v/>
      </c>
      <c r="BH95" s="78" t="str">
        <f>IF(AND($D95&gt;0,BH$6&gt;=$D95,BH$6&lt;=$E95),1,IF(AND($F95&gt;0,BH$6=$F95),"◆",""))</f>
        <v/>
      </c>
      <c r="BI95" s="78" t="str">
        <f>IF(AND($D95&gt;0,BI$6&gt;=$D95,BI$6&lt;=$E95),1,IF(AND($F95&gt;0,BI$6=$F95),"◆",""))</f>
        <v/>
      </c>
      <c r="BJ95" s="78" t="str">
        <f>IF(AND($D95&gt;0,BJ$6&gt;=$D95,BJ$6&lt;=$E95),1,IF(AND($F95&gt;0,BJ$6=$F95),"◆",""))</f>
        <v/>
      </c>
      <c r="BK95" s="78" t="str">
        <f>IF(AND($D95&gt;0,BK$6&gt;=$D95,BK$6&lt;=$E95),1,IF(AND($F95&gt;0,BK$6=$F95),"◆",""))</f>
        <v/>
      </c>
      <c r="BL95" s="78" t="str">
        <f>IF(AND($D95&gt;0,BL$6&gt;=$D95,BL$6&lt;=$E95),1,IF(AND($F95&gt;0,BL$6=$F95),"◆",""))</f>
        <v/>
      </c>
      <c r="BM95" s="78" t="str">
        <f>IF(AND($D95&gt;0,BM$6&gt;=$D95,BM$6&lt;=$E95),1,IF(AND($F95&gt;0,BM$6=$F95),"◆",""))</f>
        <v/>
      </c>
      <c r="BN95" s="78" t="str">
        <f>IF(AND($D95&gt;0,BN$6&gt;=$D95,BN$6&lt;=$E95),1,IF(AND($F95&gt;0,BN$6=$F95),"◆",""))</f>
        <v/>
      </c>
      <c r="BO95" s="78" t="str">
        <f>IF(AND($D95&gt;0,BO$6&gt;=$D95,BO$6&lt;=$E95),1,IF(AND($F95&gt;0,BO$6=$F95),"◆",""))</f>
        <v/>
      </c>
      <c r="BP95" s="78" t="str">
        <f>IF(AND($D95&gt;0,BP$6&gt;=$D95,BP$6&lt;=$E95),1,IF(AND($F95&gt;0,BP$6=$F95),"◆",""))</f>
        <v/>
      </c>
    </row>
    <row r="96">
      <c r="A96" s="75" t="str">
        <f>IF(INDEX(of_ref,90)="","",INDEX(of_num,90)&amp;"")</f>
        <v/>
      </c>
      <c r="B96" s="75" t="str">
        <f>IF(INDEX(of_ref,90)="","",INDEX(of_des,90)&amp;"")</f>
        <v/>
      </c>
      <c r="C96" s="76" t="str">
        <f>IF(INDEX(of_ref,90)="","",INDEX(of_poste,90)&amp;"")</f>
        <v/>
      </c>
      <c r="D96" s="77">
        <f>INDEX(of_start,90)</f>
        <v>0.0</v>
      </c>
      <c r="E96" s="77">
        <f>INDEX(of_end,90)</f>
        <v>0.0</v>
      </c>
      <c r="F96" s="77">
        <f>IF(N(INDEX(of_need,90))=0,0,INDEX(of_need,90))</f>
        <v>0.0</v>
      </c>
      <c r="G96" s="76" t="str">
        <f>IF(INDEX(of_ref,90)="","",INDEX(of_etat,90)&amp;"")</f>
        <v/>
      </c>
      <c r="I96" s="78" t="str">
        <f>IF(AND($D96&gt;0,I$6&gt;=$D96,I$6&lt;=$E96),1,IF(AND($F96&gt;0,I$6=$F96),"◆",""))</f>
        <v/>
      </c>
      <c r="J96" s="78" t="str">
        <f>IF(AND($D96&gt;0,J$6&gt;=$D96,J$6&lt;=$E96),1,IF(AND($F96&gt;0,J$6=$F96),"◆",""))</f>
        <v/>
      </c>
      <c r="K96" s="78" t="str">
        <f>IF(AND($D96&gt;0,K$6&gt;=$D96,K$6&lt;=$E96),1,IF(AND($F96&gt;0,K$6=$F96),"◆",""))</f>
        <v/>
      </c>
      <c r="L96" s="78" t="str">
        <f>IF(AND($D96&gt;0,L$6&gt;=$D96,L$6&lt;=$E96),1,IF(AND($F96&gt;0,L$6=$F96),"◆",""))</f>
        <v/>
      </c>
      <c r="M96" s="78" t="str">
        <f>IF(AND($D96&gt;0,M$6&gt;=$D96,M$6&lt;=$E96),1,IF(AND($F96&gt;0,M$6=$F96),"◆",""))</f>
        <v/>
      </c>
      <c r="N96" s="78" t="str">
        <f>IF(AND($D96&gt;0,N$6&gt;=$D96,N$6&lt;=$E96),1,IF(AND($F96&gt;0,N$6=$F96),"◆",""))</f>
        <v/>
      </c>
      <c r="O96" s="78" t="str">
        <f>IF(AND($D96&gt;0,O$6&gt;=$D96,O$6&lt;=$E96),1,IF(AND($F96&gt;0,O$6=$F96),"◆",""))</f>
        <v/>
      </c>
      <c r="P96" s="78" t="str">
        <f>IF(AND($D96&gt;0,P$6&gt;=$D96,P$6&lt;=$E96),1,IF(AND($F96&gt;0,P$6=$F96),"◆",""))</f>
        <v/>
      </c>
      <c r="Q96" s="78" t="str">
        <f>IF(AND($D96&gt;0,Q$6&gt;=$D96,Q$6&lt;=$E96),1,IF(AND($F96&gt;0,Q$6=$F96),"◆",""))</f>
        <v/>
      </c>
      <c r="R96" s="78" t="str">
        <f>IF(AND($D96&gt;0,R$6&gt;=$D96,R$6&lt;=$E96),1,IF(AND($F96&gt;0,R$6=$F96),"◆",""))</f>
        <v/>
      </c>
      <c r="S96" s="78" t="str">
        <f>IF(AND($D96&gt;0,S$6&gt;=$D96,S$6&lt;=$E96),1,IF(AND($F96&gt;0,S$6=$F96),"◆",""))</f>
        <v/>
      </c>
      <c r="T96" s="78" t="str">
        <f>IF(AND($D96&gt;0,T$6&gt;=$D96,T$6&lt;=$E96),1,IF(AND($F96&gt;0,T$6=$F96),"◆",""))</f>
        <v/>
      </c>
      <c r="U96" s="78" t="str">
        <f>IF(AND($D96&gt;0,U$6&gt;=$D96,U$6&lt;=$E96),1,IF(AND($F96&gt;0,U$6=$F96),"◆",""))</f>
        <v/>
      </c>
      <c r="V96" s="78" t="str">
        <f>IF(AND($D96&gt;0,V$6&gt;=$D96,V$6&lt;=$E96),1,IF(AND($F96&gt;0,V$6=$F96),"◆",""))</f>
        <v/>
      </c>
      <c r="W96" s="78" t="str">
        <f>IF(AND($D96&gt;0,W$6&gt;=$D96,W$6&lt;=$E96),1,IF(AND($F96&gt;0,W$6=$F96),"◆",""))</f>
        <v/>
      </c>
      <c r="X96" s="78" t="str">
        <f>IF(AND($D96&gt;0,X$6&gt;=$D96,X$6&lt;=$E96),1,IF(AND($F96&gt;0,X$6=$F96),"◆",""))</f>
        <v/>
      </c>
      <c r="Y96" s="78" t="str">
        <f>IF(AND($D96&gt;0,Y$6&gt;=$D96,Y$6&lt;=$E96),1,IF(AND($F96&gt;0,Y$6=$F96),"◆",""))</f>
        <v/>
      </c>
      <c r="Z96" s="78" t="str">
        <f>IF(AND($D96&gt;0,Z$6&gt;=$D96,Z$6&lt;=$E96),1,IF(AND($F96&gt;0,Z$6=$F96),"◆",""))</f>
        <v/>
      </c>
      <c r="AA96" s="78" t="str">
        <f>IF(AND($D96&gt;0,AA$6&gt;=$D96,AA$6&lt;=$E96),1,IF(AND($F96&gt;0,AA$6=$F96),"◆",""))</f>
        <v/>
      </c>
      <c r="AB96" s="78" t="str">
        <f>IF(AND($D96&gt;0,AB$6&gt;=$D96,AB$6&lt;=$E96),1,IF(AND($F96&gt;0,AB$6=$F96),"◆",""))</f>
        <v/>
      </c>
      <c r="AC96" s="78" t="str">
        <f>IF(AND($D96&gt;0,AC$6&gt;=$D96,AC$6&lt;=$E96),1,IF(AND($F96&gt;0,AC$6=$F96),"◆",""))</f>
        <v/>
      </c>
      <c r="AD96" s="78" t="str">
        <f>IF(AND($D96&gt;0,AD$6&gt;=$D96,AD$6&lt;=$E96),1,IF(AND($F96&gt;0,AD$6=$F96),"◆",""))</f>
        <v/>
      </c>
      <c r="AE96" s="78" t="str">
        <f>IF(AND($D96&gt;0,AE$6&gt;=$D96,AE$6&lt;=$E96),1,IF(AND($F96&gt;0,AE$6=$F96),"◆",""))</f>
        <v/>
      </c>
      <c r="AF96" s="78" t="str">
        <f>IF(AND($D96&gt;0,AF$6&gt;=$D96,AF$6&lt;=$E96),1,IF(AND($F96&gt;0,AF$6=$F96),"◆",""))</f>
        <v/>
      </c>
      <c r="AG96" s="78" t="str">
        <f>IF(AND($D96&gt;0,AG$6&gt;=$D96,AG$6&lt;=$E96),1,IF(AND($F96&gt;0,AG$6=$F96),"◆",""))</f>
        <v/>
      </c>
      <c r="AH96" s="78" t="str">
        <f>IF(AND($D96&gt;0,AH$6&gt;=$D96,AH$6&lt;=$E96),1,IF(AND($F96&gt;0,AH$6=$F96),"◆",""))</f>
        <v/>
      </c>
      <c r="AI96" s="78" t="str">
        <f>IF(AND($D96&gt;0,AI$6&gt;=$D96,AI$6&lt;=$E96),1,IF(AND($F96&gt;0,AI$6=$F96),"◆",""))</f>
        <v/>
      </c>
      <c r="AJ96" s="78" t="str">
        <f>IF(AND($D96&gt;0,AJ$6&gt;=$D96,AJ$6&lt;=$E96),1,IF(AND($F96&gt;0,AJ$6=$F96),"◆",""))</f>
        <v/>
      </c>
      <c r="AK96" s="78" t="str">
        <f>IF(AND($D96&gt;0,AK$6&gt;=$D96,AK$6&lt;=$E96),1,IF(AND($F96&gt;0,AK$6=$F96),"◆",""))</f>
        <v/>
      </c>
      <c r="AL96" s="78" t="str">
        <f>IF(AND($D96&gt;0,AL$6&gt;=$D96,AL$6&lt;=$E96),1,IF(AND($F96&gt;0,AL$6=$F96),"◆",""))</f>
        <v/>
      </c>
      <c r="AM96" s="78" t="str">
        <f>IF(AND($D96&gt;0,AM$6&gt;=$D96,AM$6&lt;=$E96),1,IF(AND($F96&gt;0,AM$6=$F96),"◆",""))</f>
        <v/>
      </c>
      <c r="AN96" s="78" t="str">
        <f>IF(AND($D96&gt;0,AN$6&gt;=$D96,AN$6&lt;=$E96),1,IF(AND($F96&gt;0,AN$6=$F96),"◆",""))</f>
        <v/>
      </c>
      <c r="AO96" s="78" t="str">
        <f>IF(AND($D96&gt;0,AO$6&gt;=$D96,AO$6&lt;=$E96),1,IF(AND($F96&gt;0,AO$6=$F96),"◆",""))</f>
        <v/>
      </c>
      <c r="AP96" s="78" t="str">
        <f>IF(AND($D96&gt;0,AP$6&gt;=$D96,AP$6&lt;=$E96),1,IF(AND($F96&gt;0,AP$6=$F96),"◆",""))</f>
        <v/>
      </c>
      <c r="AQ96" s="78" t="str">
        <f>IF(AND($D96&gt;0,AQ$6&gt;=$D96,AQ$6&lt;=$E96),1,IF(AND($F96&gt;0,AQ$6=$F96),"◆",""))</f>
        <v/>
      </c>
      <c r="AR96" s="78" t="str">
        <f>IF(AND($D96&gt;0,AR$6&gt;=$D96,AR$6&lt;=$E96),1,IF(AND($F96&gt;0,AR$6=$F96),"◆",""))</f>
        <v/>
      </c>
      <c r="AS96" s="78" t="str">
        <f>IF(AND($D96&gt;0,AS$6&gt;=$D96,AS$6&lt;=$E96),1,IF(AND($F96&gt;0,AS$6=$F96),"◆",""))</f>
        <v/>
      </c>
      <c r="AT96" s="78" t="str">
        <f>IF(AND($D96&gt;0,AT$6&gt;=$D96,AT$6&lt;=$E96),1,IF(AND($F96&gt;0,AT$6=$F96),"◆",""))</f>
        <v/>
      </c>
      <c r="AU96" s="78" t="str">
        <f>IF(AND($D96&gt;0,AU$6&gt;=$D96,AU$6&lt;=$E96),1,IF(AND($F96&gt;0,AU$6=$F96),"◆",""))</f>
        <v/>
      </c>
      <c r="AV96" s="78" t="str">
        <f>IF(AND($D96&gt;0,AV$6&gt;=$D96,AV$6&lt;=$E96),1,IF(AND($F96&gt;0,AV$6=$F96),"◆",""))</f>
        <v/>
      </c>
      <c r="AW96" s="78" t="str">
        <f>IF(AND($D96&gt;0,AW$6&gt;=$D96,AW$6&lt;=$E96),1,IF(AND($F96&gt;0,AW$6=$F96),"◆",""))</f>
        <v/>
      </c>
      <c r="AX96" s="78" t="str">
        <f>IF(AND($D96&gt;0,AX$6&gt;=$D96,AX$6&lt;=$E96),1,IF(AND($F96&gt;0,AX$6=$F96),"◆",""))</f>
        <v/>
      </c>
      <c r="AY96" s="78" t="str">
        <f>IF(AND($D96&gt;0,AY$6&gt;=$D96,AY$6&lt;=$E96),1,IF(AND($F96&gt;0,AY$6=$F96),"◆",""))</f>
        <v/>
      </c>
      <c r="AZ96" s="78" t="str">
        <f>IF(AND($D96&gt;0,AZ$6&gt;=$D96,AZ$6&lt;=$E96),1,IF(AND($F96&gt;0,AZ$6=$F96),"◆",""))</f>
        <v/>
      </c>
      <c r="BA96" s="78" t="str">
        <f>IF(AND($D96&gt;0,BA$6&gt;=$D96,BA$6&lt;=$E96),1,IF(AND($F96&gt;0,BA$6=$F96),"◆",""))</f>
        <v/>
      </c>
      <c r="BB96" s="78" t="str">
        <f>IF(AND($D96&gt;0,BB$6&gt;=$D96,BB$6&lt;=$E96),1,IF(AND($F96&gt;0,BB$6=$F96),"◆",""))</f>
        <v/>
      </c>
      <c r="BC96" s="78" t="str">
        <f>IF(AND($D96&gt;0,BC$6&gt;=$D96,BC$6&lt;=$E96),1,IF(AND($F96&gt;0,BC$6=$F96),"◆",""))</f>
        <v/>
      </c>
      <c r="BD96" s="78" t="str">
        <f>IF(AND($D96&gt;0,BD$6&gt;=$D96,BD$6&lt;=$E96),1,IF(AND($F96&gt;0,BD$6=$F96),"◆",""))</f>
        <v/>
      </c>
      <c r="BE96" s="78" t="str">
        <f>IF(AND($D96&gt;0,BE$6&gt;=$D96,BE$6&lt;=$E96),1,IF(AND($F96&gt;0,BE$6=$F96),"◆",""))</f>
        <v/>
      </c>
      <c r="BF96" s="78" t="str">
        <f>IF(AND($D96&gt;0,BF$6&gt;=$D96,BF$6&lt;=$E96),1,IF(AND($F96&gt;0,BF$6=$F96),"◆",""))</f>
        <v/>
      </c>
      <c r="BG96" s="78" t="str">
        <f>IF(AND($D96&gt;0,BG$6&gt;=$D96,BG$6&lt;=$E96),1,IF(AND($F96&gt;0,BG$6=$F96),"◆",""))</f>
        <v/>
      </c>
      <c r="BH96" s="78" t="str">
        <f>IF(AND($D96&gt;0,BH$6&gt;=$D96,BH$6&lt;=$E96),1,IF(AND($F96&gt;0,BH$6=$F96),"◆",""))</f>
        <v/>
      </c>
      <c r="BI96" s="78" t="str">
        <f>IF(AND($D96&gt;0,BI$6&gt;=$D96,BI$6&lt;=$E96),1,IF(AND($F96&gt;0,BI$6=$F96),"◆",""))</f>
        <v/>
      </c>
      <c r="BJ96" s="78" t="str">
        <f>IF(AND($D96&gt;0,BJ$6&gt;=$D96,BJ$6&lt;=$E96),1,IF(AND($F96&gt;0,BJ$6=$F96),"◆",""))</f>
        <v/>
      </c>
      <c r="BK96" s="78" t="str">
        <f>IF(AND($D96&gt;0,BK$6&gt;=$D96,BK$6&lt;=$E96),1,IF(AND($F96&gt;0,BK$6=$F96),"◆",""))</f>
        <v/>
      </c>
      <c r="BL96" s="78" t="str">
        <f>IF(AND($D96&gt;0,BL$6&gt;=$D96,BL$6&lt;=$E96),1,IF(AND($F96&gt;0,BL$6=$F96),"◆",""))</f>
        <v/>
      </c>
      <c r="BM96" s="78" t="str">
        <f>IF(AND($D96&gt;0,BM$6&gt;=$D96,BM$6&lt;=$E96),1,IF(AND($F96&gt;0,BM$6=$F96),"◆",""))</f>
        <v/>
      </c>
      <c r="BN96" s="78" t="str">
        <f>IF(AND($D96&gt;0,BN$6&gt;=$D96,BN$6&lt;=$E96),1,IF(AND($F96&gt;0,BN$6=$F96),"◆",""))</f>
        <v/>
      </c>
      <c r="BO96" s="78" t="str">
        <f>IF(AND($D96&gt;0,BO$6&gt;=$D96,BO$6&lt;=$E96),1,IF(AND($F96&gt;0,BO$6=$F96),"◆",""))</f>
        <v/>
      </c>
      <c r="BP96" s="78" t="str">
        <f>IF(AND($D96&gt;0,BP$6&gt;=$D96,BP$6&lt;=$E96),1,IF(AND($F96&gt;0,BP$6=$F96),"◆",""))</f>
        <v/>
      </c>
    </row>
    <row r="97">
      <c r="A97" s="75" t="str">
        <f>IF(INDEX(of_ref,91)="","",INDEX(of_num,91)&amp;"")</f>
        <v/>
      </c>
      <c r="B97" s="75" t="str">
        <f>IF(INDEX(of_ref,91)="","",INDEX(of_des,91)&amp;"")</f>
        <v/>
      </c>
      <c r="C97" s="76" t="str">
        <f>IF(INDEX(of_ref,91)="","",INDEX(of_poste,91)&amp;"")</f>
        <v/>
      </c>
      <c r="D97" s="77">
        <f>INDEX(of_start,91)</f>
        <v>0.0</v>
      </c>
      <c r="E97" s="77">
        <f>INDEX(of_end,91)</f>
        <v>0.0</v>
      </c>
      <c r="F97" s="77">
        <f>IF(N(INDEX(of_need,91))=0,0,INDEX(of_need,91))</f>
        <v>0.0</v>
      </c>
      <c r="G97" s="76" t="str">
        <f>IF(INDEX(of_ref,91)="","",INDEX(of_etat,91)&amp;"")</f>
        <v/>
      </c>
      <c r="I97" s="78" t="str">
        <f>IF(AND($D97&gt;0,I$6&gt;=$D97,I$6&lt;=$E97),1,IF(AND($F97&gt;0,I$6=$F97),"◆",""))</f>
        <v/>
      </c>
      <c r="J97" s="78" t="str">
        <f>IF(AND($D97&gt;0,J$6&gt;=$D97,J$6&lt;=$E97),1,IF(AND($F97&gt;0,J$6=$F97),"◆",""))</f>
        <v/>
      </c>
      <c r="K97" s="78" t="str">
        <f>IF(AND($D97&gt;0,K$6&gt;=$D97,K$6&lt;=$E97),1,IF(AND($F97&gt;0,K$6=$F97),"◆",""))</f>
        <v/>
      </c>
      <c r="L97" s="78" t="str">
        <f>IF(AND($D97&gt;0,L$6&gt;=$D97,L$6&lt;=$E97),1,IF(AND($F97&gt;0,L$6=$F97),"◆",""))</f>
        <v/>
      </c>
      <c r="M97" s="78" t="str">
        <f>IF(AND($D97&gt;0,M$6&gt;=$D97,M$6&lt;=$E97),1,IF(AND($F97&gt;0,M$6=$F97),"◆",""))</f>
        <v/>
      </c>
      <c r="N97" s="78" t="str">
        <f>IF(AND($D97&gt;0,N$6&gt;=$D97,N$6&lt;=$E97),1,IF(AND($F97&gt;0,N$6=$F97),"◆",""))</f>
        <v/>
      </c>
      <c r="O97" s="78" t="str">
        <f>IF(AND($D97&gt;0,O$6&gt;=$D97,O$6&lt;=$E97),1,IF(AND($F97&gt;0,O$6=$F97),"◆",""))</f>
        <v/>
      </c>
      <c r="P97" s="78" t="str">
        <f>IF(AND($D97&gt;0,P$6&gt;=$D97,P$6&lt;=$E97),1,IF(AND($F97&gt;0,P$6=$F97),"◆",""))</f>
        <v/>
      </c>
      <c r="Q97" s="78" t="str">
        <f>IF(AND($D97&gt;0,Q$6&gt;=$D97,Q$6&lt;=$E97),1,IF(AND($F97&gt;0,Q$6=$F97),"◆",""))</f>
        <v/>
      </c>
      <c r="R97" s="78" t="str">
        <f>IF(AND($D97&gt;0,R$6&gt;=$D97,R$6&lt;=$E97),1,IF(AND($F97&gt;0,R$6=$F97),"◆",""))</f>
        <v/>
      </c>
      <c r="S97" s="78" t="str">
        <f>IF(AND($D97&gt;0,S$6&gt;=$D97,S$6&lt;=$E97),1,IF(AND($F97&gt;0,S$6=$F97),"◆",""))</f>
        <v/>
      </c>
      <c r="T97" s="78" t="str">
        <f>IF(AND($D97&gt;0,T$6&gt;=$D97,T$6&lt;=$E97),1,IF(AND($F97&gt;0,T$6=$F97),"◆",""))</f>
        <v/>
      </c>
      <c r="U97" s="78" t="str">
        <f>IF(AND($D97&gt;0,U$6&gt;=$D97,U$6&lt;=$E97),1,IF(AND($F97&gt;0,U$6=$F97),"◆",""))</f>
        <v/>
      </c>
      <c r="V97" s="78" t="str">
        <f>IF(AND($D97&gt;0,V$6&gt;=$D97,V$6&lt;=$E97),1,IF(AND($F97&gt;0,V$6=$F97),"◆",""))</f>
        <v/>
      </c>
      <c r="W97" s="78" t="str">
        <f>IF(AND($D97&gt;0,W$6&gt;=$D97,W$6&lt;=$E97),1,IF(AND($F97&gt;0,W$6=$F97),"◆",""))</f>
        <v/>
      </c>
      <c r="X97" s="78" t="str">
        <f>IF(AND($D97&gt;0,X$6&gt;=$D97,X$6&lt;=$E97),1,IF(AND($F97&gt;0,X$6=$F97),"◆",""))</f>
        <v/>
      </c>
      <c r="Y97" s="78" t="str">
        <f>IF(AND($D97&gt;0,Y$6&gt;=$D97,Y$6&lt;=$E97),1,IF(AND($F97&gt;0,Y$6=$F97),"◆",""))</f>
        <v/>
      </c>
      <c r="Z97" s="78" t="str">
        <f>IF(AND($D97&gt;0,Z$6&gt;=$D97,Z$6&lt;=$E97),1,IF(AND($F97&gt;0,Z$6=$F97),"◆",""))</f>
        <v/>
      </c>
      <c r="AA97" s="78" t="str">
        <f>IF(AND($D97&gt;0,AA$6&gt;=$D97,AA$6&lt;=$E97),1,IF(AND($F97&gt;0,AA$6=$F97),"◆",""))</f>
        <v/>
      </c>
      <c r="AB97" s="78" t="str">
        <f>IF(AND($D97&gt;0,AB$6&gt;=$D97,AB$6&lt;=$E97),1,IF(AND($F97&gt;0,AB$6=$F97),"◆",""))</f>
        <v/>
      </c>
      <c r="AC97" s="78" t="str">
        <f>IF(AND($D97&gt;0,AC$6&gt;=$D97,AC$6&lt;=$E97),1,IF(AND($F97&gt;0,AC$6=$F97),"◆",""))</f>
        <v/>
      </c>
      <c r="AD97" s="78" t="str">
        <f>IF(AND($D97&gt;0,AD$6&gt;=$D97,AD$6&lt;=$E97),1,IF(AND($F97&gt;0,AD$6=$F97),"◆",""))</f>
        <v/>
      </c>
      <c r="AE97" s="78" t="str">
        <f>IF(AND($D97&gt;0,AE$6&gt;=$D97,AE$6&lt;=$E97),1,IF(AND($F97&gt;0,AE$6=$F97),"◆",""))</f>
        <v/>
      </c>
      <c r="AF97" s="78" t="str">
        <f>IF(AND($D97&gt;0,AF$6&gt;=$D97,AF$6&lt;=$E97),1,IF(AND($F97&gt;0,AF$6=$F97),"◆",""))</f>
        <v/>
      </c>
      <c r="AG97" s="78" t="str">
        <f>IF(AND($D97&gt;0,AG$6&gt;=$D97,AG$6&lt;=$E97),1,IF(AND($F97&gt;0,AG$6=$F97),"◆",""))</f>
        <v/>
      </c>
      <c r="AH97" s="78" t="str">
        <f>IF(AND($D97&gt;0,AH$6&gt;=$D97,AH$6&lt;=$E97),1,IF(AND($F97&gt;0,AH$6=$F97),"◆",""))</f>
        <v/>
      </c>
      <c r="AI97" s="78" t="str">
        <f>IF(AND($D97&gt;0,AI$6&gt;=$D97,AI$6&lt;=$E97),1,IF(AND($F97&gt;0,AI$6=$F97),"◆",""))</f>
        <v/>
      </c>
      <c r="AJ97" s="78" t="str">
        <f>IF(AND($D97&gt;0,AJ$6&gt;=$D97,AJ$6&lt;=$E97),1,IF(AND($F97&gt;0,AJ$6=$F97),"◆",""))</f>
        <v/>
      </c>
      <c r="AK97" s="78" t="str">
        <f>IF(AND($D97&gt;0,AK$6&gt;=$D97,AK$6&lt;=$E97),1,IF(AND($F97&gt;0,AK$6=$F97),"◆",""))</f>
        <v/>
      </c>
      <c r="AL97" s="78" t="str">
        <f>IF(AND($D97&gt;0,AL$6&gt;=$D97,AL$6&lt;=$E97),1,IF(AND($F97&gt;0,AL$6=$F97),"◆",""))</f>
        <v/>
      </c>
      <c r="AM97" s="78" t="str">
        <f>IF(AND($D97&gt;0,AM$6&gt;=$D97,AM$6&lt;=$E97),1,IF(AND($F97&gt;0,AM$6=$F97),"◆",""))</f>
        <v/>
      </c>
      <c r="AN97" s="78" t="str">
        <f>IF(AND($D97&gt;0,AN$6&gt;=$D97,AN$6&lt;=$E97),1,IF(AND($F97&gt;0,AN$6=$F97),"◆",""))</f>
        <v/>
      </c>
      <c r="AO97" s="78" t="str">
        <f>IF(AND($D97&gt;0,AO$6&gt;=$D97,AO$6&lt;=$E97),1,IF(AND($F97&gt;0,AO$6=$F97),"◆",""))</f>
        <v/>
      </c>
      <c r="AP97" s="78" t="str">
        <f>IF(AND($D97&gt;0,AP$6&gt;=$D97,AP$6&lt;=$E97),1,IF(AND($F97&gt;0,AP$6=$F97),"◆",""))</f>
        <v/>
      </c>
      <c r="AQ97" s="78" t="str">
        <f>IF(AND($D97&gt;0,AQ$6&gt;=$D97,AQ$6&lt;=$E97),1,IF(AND($F97&gt;0,AQ$6=$F97),"◆",""))</f>
        <v/>
      </c>
      <c r="AR97" s="78" t="str">
        <f>IF(AND($D97&gt;0,AR$6&gt;=$D97,AR$6&lt;=$E97),1,IF(AND($F97&gt;0,AR$6=$F97),"◆",""))</f>
        <v/>
      </c>
      <c r="AS97" s="78" t="str">
        <f>IF(AND($D97&gt;0,AS$6&gt;=$D97,AS$6&lt;=$E97),1,IF(AND($F97&gt;0,AS$6=$F97),"◆",""))</f>
        <v/>
      </c>
      <c r="AT97" s="78" t="str">
        <f>IF(AND($D97&gt;0,AT$6&gt;=$D97,AT$6&lt;=$E97),1,IF(AND($F97&gt;0,AT$6=$F97),"◆",""))</f>
        <v/>
      </c>
      <c r="AU97" s="78" t="str">
        <f>IF(AND($D97&gt;0,AU$6&gt;=$D97,AU$6&lt;=$E97),1,IF(AND($F97&gt;0,AU$6=$F97),"◆",""))</f>
        <v/>
      </c>
      <c r="AV97" s="78" t="str">
        <f>IF(AND($D97&gt;0,AV$6&gt;=$D97,AV$6&lt;=$E97),1,IF(AND($F97&gt;0,AV$6=$F97),"◆",""))</f>
        <v/>
      </c>
      <c r="AW97" s="78" t="str">
        <f>IF(AND($D97&gt;0,AW$6&gt;=$D97,AW$6&lt;=$E97),1,IF(AND($F97&gt;0,AW$6=$F97),"◆",""))</f>
        <v/>
      </c>
      <c r="AX97" s="78" t="str">
        <f>IF(AND($D97&gt;0,AX$6&gt;=$D97,AX$6&lt;=$E97),1,IF(AND($F97&gt;0,AX$6=$F97),"◆",""))</f>
        <v/>
      </c>
      <c r="AY97" s="78" t="str">
        <f>IF(AND($D97&gt;0,AY$6&gt;=$D97,AY$6&lt;=$E97),1,IF(AND($F97&gt;0,AY$6=$F97),"◆",""))</f>
        <v/>
      </c>
      <c r="AZ97" s="78" t="str">
        <f>IF(AND($D97&gt;0,AZ$6&gt;=$D97,AZ$6&lt;=$E97),1,IF(AND($F97&gt;0,AZ$6=$F97),"◆",""))</f>
        <v/>
      </c>
      <c r="BA97" s="78" t="str">
        <f>IF(AND($D97&gt;0,BA$6&gt;=$D97,BA$6&lt;=$E97),1,IF(AND($F97&gt;0,BA$6=$F97),"◆",""))</f>
        <v/>
      </c>
      <c r="BB97" s="78" t="str">
        <f>IF(AND($D97&gt;0,BB$6&gt;=$D97,BB$6&lt;=$E97),1,IF(AND($F97&gt;0,BB$6=$F97),"◆",""))</f>
        <v/>
      </c>
      <c r="BC97" s="78" t="str">
        <f>IF(AND($D97&gt;0,BC$6&gt;=$D97,BC$6&lt;=$E97),1,IF(AND($F97&gt;0,BC$6=$F97),"◆",""))</f>
        <v/>
      </c>
      <c r="BD97" s="78" t="str">
        <f>IF(AND($D97&gt;0,BD$6&gt;=$D97,BD$6&lt;=$E97),1,IF(AND($F97&gt;0,BD$6=$F97),"◆",""))</f>
        <v/>
      </c>
      <c r="BE97" s="78" t="str">
        <f>IF(AND($D97&gt;0,BE$6&gt;=$D97,BE$6&lt;=$E97),1,IF(AND($F97&gt;0,BE$6=$F97),"◆",""))</f>
        <v/>
      </c>
      <c r="BF97" s="78" t="str">
        <f>IF(AND($D97&gt;0,BF$6&gt;=$D97,BF$6&lt;=$E97),1,IF(AND($F97&gt;0,BF$6=$F97),"◆",""))</f>
        <v/>
      </c>
      <c r="BG97" s="78" t="str">
        <f>IF(AND($D97&gt;0,BG$6&gt;=$D97,BG$6&lt;=$E97),1,IF(AND($F97&gt;0,BG$6=$F97),"◆",""))</f>
        <v/>
      </c>
      <c r="BH97" s="78" t="str">
        <f>IF(AND($D97&gt;0,BH$6&gt;=$D97,BH$6&lt;=$E97),1,IF(AND($F97&gt;0,BH$6=$F97),"◆",""))</f>
        <v/>
      </c>
      <c r="BI97" s="78" t="str">
        <f>IF(AND($D97&gt;0,BI$6&gt;=$D97,BI$6&lt;=$E97),1,IF(AND($F97&gt;0,BI$6=$F97),"◆",""))</f>
        <v/>
      </c>
      <c r="BJ97" s="78" t="str">
        <f>IF(AND($D97&gt;0,BJ$6&gt;=$D97,BJ$6&lt;=$E97),1,IF(AND($F97&gt;0,BJ$6=$F97),"◆",""))</f>
        <v/>
      </c>
      <c r="BK97" s="78" t="str">
        <f>IF(AND($D97&gt;0,BK$6&gt;=$D97,BK$6&lt;=$E97),1,IF(AND($F97&gt;0,BK$6=$F97),"◆",""))</f>
        <v/>
      </c>
      <c r="BL97" s="78" t="str">
        <f>IF(AND($D97&gt;0,BL$6&gt;=$D97,BL$6&lt;=$E97),1,IF(AND($F97&gt;0,BL$6=$F97),"◆",""))</f>
        <v/>
      </c>
      <c r="BM97" s="78" t="str">
        <f>IF(AND($D97&gt;0,BM$6&gt;=$D97,BM$6&lt;=$E97),1,IF(AND($F97&gt;0,BM$6=$F97),"◆",""))</f>
        <v/>
      </c>
      <c r="BN97" s="78" t="str">
        <f>IF(AND($D97&gt;0,BN$6&gt;=$D97,BN$6&lt;=$E97),1,IF(AND($F97&gt;0,BN$6=$F97),"◆",""))</f>
        <v/>
      </c>
      <c r="BO97" s="78" t="str">
        <f>IF(AND($D97&gt;0,BO$6&gt;=$D97,BO$6&lt;=$E97),1,IF(AND($F97&gt;0,BO$6=$F97),"◆",""))</f>
        <v/>
      </c>
      <c r="BP97" s="78" t="str">
        <f>IF(AND($D97&gt;0,BP$6&gt;=$D97,BP$6&lt;=$E97),1,IF(AND($F97&gt;0,BP$6=$F97),"◆",""))</f>
        <v/>
      </c>
    </row>
    <row r="98">
      <c r="A98" s="75" t="str">
        <f>IF(INDEX(of_ref,92)="","",INDEX(of_num,92)&amp;"")</f>
        <v/>
      </c>
      <c r="B98" s="75" t="str">
        <f>IF(INDEX(of_ref,92)="","",INDEX(of_des,92)&amp;"")</f>
        <v/>
      </c>
      <c r="C98" s="76" t="str">
        <f>IF(INDEX(of_ref,92)="","",INDEX(of_poste,92)&amp;"")</f>
        <v/>
      </c>
      <c r="D98" s="77">
        <f>INDEX(of_start,92)</f>
        <v>0.0</v>
      </c>
      <c r="E98" s="77">
        <f>INDEX(of_end,92)</f>
        <v>0.0</v>
      </c>
      <c r="F98" s="77">
        <f>IF(N(INDEX(of_need,92))=0,0,INDEX(of_need,92))</f>
        <v>0.0</v>
      </c>
      <c r="G98" s="76" t="str">
        <f>IF(INDEX(of_ref,92)="","",INDEX(of_etat,92)&amp;"")</f>
        <v/>
      </c>
      <c r="I98" s="78" t="str">
        <f>IF(AND($D98&gt;0,I$6&gt;=$D98,I$6&lt;=$E98),1,IF(AND($F98&gt;0,I$6=$F98),"◆",""))</f>
        <v/>
      </c>
      <c r="J98" s="78" t="str">
        <f>IF(AND($D98&gt;0,J$6&gt;=$D98,J$6&lt;=$E98),1,IF(AND($F98&gt;0,J$6=$F98),"◆",""))</f>
        <v/>
      </c>
      <c r="K98" s="78" t="str">
        <f>IF(AND($D98&gt;0,K$6&gt;=$D98,K$6&lt;=$E98),1,IF(AND($F98&gt;0,K$6=$F98),"◆",""))</f>
        <v/>
      </c>
      <c r="L98" s="78" t="str">
        <f>IF(AND($D98&gt;0,L$6&gt;=$D98,L$6&lt;=$E98),1,IF(AND($F98&gt;0,L$6=$F98),"◆",""))</f>
        <v/>
      </c>
      <c r="M98" s="78" t="str">
        <f>IF(AND($D98&gt;0,M$6&gt;=$D98,M$6&lt;=$E98),1,IF(AND($F98&gt;0,M$6=$F98),"◆",""))</f>
        <v/>
      </c>
      <c r="N98" s="78" t="str">
        <f>IF(AND($D98&gt;0,N$6&gt;=$D98,N$6&lt;=$E98),1,IF(AND($F98&gt;0,N$6=$F98),"◆",""))</f>
        <v/>
      </c>
      <c r="O98" s="78" t="str">
        <f>IF(AND($D98&gt;0,O$6&gt;=$D98,O$6&lt;=$E98),1,IF(AND($F98&gt;0,O$6=$F98),"◆",""))</f>
        <v/>
      </c>
      <c r="P98" s="78" t="str">
        <f>IF(AND($D98&gt;0,P$6&gt;=$D98,P$6&lt;=$E98),1,IF(AND($F98&gt;0,P$6=$F98),"◆",""))</f>
        <v/>
      </c>
      <c r="Q98" s="78" t="str">
        <f>IF(AND($D98&gt;0,Q$6&gt;=$D98,Q$6&lt;=$E98),1,IF(AND($F98&gt;0,Q$6=$F98),"◆",""))</f>
        <v/>
      </c>
      <c r="R98" s="78" t="str">
        <f>IF(AND($D98&gt;0,R$6&gt;=$D98,R$6&lt;=$E98),1,IF(AND($F98&gt;0,R$6=$F98),"◆",""))</f>
        <v/>
      </c>
      <c r="S98" s="78" t="str">
        <f>IF(AND($D98&gt;0,S$6&gt;=$D98,S$6&lt;=$E98),1,IF(AND($F98&gt;0,S$6=$F98),"◆",""))</f>
        <v/>
      </c>
      <c r="T98" s="78" t="str">
        <f>IF(AND($D98&gt;0,T$6&gt;=$D98,T$6&lt;=$E98),1,IF(AND($F98&gt;0,T$6=$F98),"◆",""))</f>
        <v/>
      </c>
      <c r="U98" s="78" t="str">
        <f>IF(AND($D98&gt;0,U$6&gt;=$D98,U$6&lt;=$E98),1,IF(AND($F98&gt;0,U$6=$F98),"◆",""))</f>
        <v/>
      </c>
      <c r="V98" s="78" t="str">
        <f>IF(AND($D98&gt;0,V$6&gt;=$D98,V$6&lt;=$E98),1,IF(AND($F98&gt;0,V$6=$F98),"◆",""))</f>
        <v/>
      </c>
      <c r="W98" s="78" t="str">
        <f>IF(AND($D98&gt;0,W$6&gt;=$D98,W$6&lt;=$E98),1,IF(AND($F98&gt;0,W$6=$F98),"◆",""))</f>
        <v/>
      </c>
      <c r="X98" s="78" t="str">
        <f>IF(AND($D98&gt;0,X$6&gt;=$D98,X$6&lt;=$E98),1,IF(AND($F98&gt;0,X$6=$F98),"◆",""))</f>
        <v/>
      </c>
      <c r="Y98" s="78" t="str">
        <f>IF(AND($D98&gt;0,Y$6&gt;=$D98,Y$6&lt;=$E98),1,IF(AND($F98&gt;0,Y$6=$F98),"◆",""))</f>
        <v/>
      </c>
      <c r="Z98" s="78" t="str">
        <f>IF(AND($D98&gt;0,Z$6&gt;=$D98,Z$6&lt;=$E98),1,IF(AND($F98&gt;0,Z$6=$F98),"◆",""))</f>
        <v/>
      </c>
      <c r="AA98" s="78" t="str">
        <f>IF(AND($D98&gt;0,AA$6&gt;=$D98,AA$6&lt;=$E98),1,IF(AND($F98&gt;0,AA$6=$F98),"◆",""))</f>
        <v/>
      </c>
      <c r="AB98" s="78" t="str">
        <f>IF(AND($D98&gt;0,AB$6&gt;=$D98,AB$6&lt;=$E98),1,IF(AND($F98&gt;0,AB$6=$F98),"◆",""))</f>
        <v/>
      </c>
      <c r="AC98" s="78" t="str">
        <f>IF(AND($D98&gt;0,AC$6&gt;=$D98,AC$6&lt;=$E98),1,IF(AND($F98&gt;0,AC$6=$F98),"◆",""))</f>
        <v/>
      </c>
      <c r="AD98" s="78" t="str">
        <f>IF(AND($D98&gt;0,AD$6&gt;=$D98,AD$6&lt;=$E98),1,IF(AND($F98&gt;0,AD$6=$F98),"◆",""))</f>
        <v/>
      </c>
      <c r="AE98" s="78" t="str">
        <f>IF(AND($D98&gt;0,AE$6&gt;=$D98,AE$6&lt;=$E98),1,IF(AND($F98&gt;0,AE$6=$F98),"◆",""))</f>
        <v/>
      </c>
      <c r="AF98" s="78" t="str">
        <f>IF(AND($D98&gt;0,AF$6&gt;=$D98,AF$6&lt;=$E98),1,IF(AND($F98&gt;0,AF$6=$F98),"◆",""))</f>
        <v/>
      </c>
      <c r="AG98" s="78" t="str">
        <f>IF(AND($D98&gt;0,AG$6&gt;=$D98,AG$6&lt;=$E98),1,IF(AND($F98&gt;0,AG$6=$F98),"◆",""))</f>
        <v/>
      </c>
      <c r="AH98" s="78" t="str">
        <f>IF(AND($D98&gt;0,AH$6&gt;=$D98,AH$6&lt;=$E98),1,IF(AND($F98&gt;0,AH$6=$F98),"◆",""))</f>
        <v/>
      </c>
      <c r="AI98" s="78" t="str">
        <f>IF(AND($D98&gt;0,AI$6&gt;=$D98,AI$6&lt;=$E98),1,IF(AND($F98&gt;0,AI$6=$F98),"◆",""))</f>
        <v/>
      </c>
      <c r="AJ98" s="78" t="str">
        <f>IF(AND($D98&gt;0,AJ$6&gt;=$D98,AJ$6&lt;=$E98),1,IF(AND($F98&gt;0,AJ$6=$F98),"◆",""))</f>
        <v/>
      </c>
      <c r="AK98" s="78" t="str">
        <f>IF(AND($D98&gt;0,AK$6&gt;=$D98,AK$6&lt;=$E98),1,IF(AND($F98&gt;0,AK$6=$F98),"◆",""))</f>
        <v/>
      </c>
      <c r="AL98" s="78" t="str">
        <f>IF(AND($D98&gt;0,AL$6&gt;=$D98,AL$6&lt;=$E98),1,IF(AND($F98&gt;0,AL$6=$F98),"◆",""))</f>
        <v/>
      </c>
      <c r="AM98" s="78" t="str">
        <f>IF(AND($D98&gt;0,AM$6&gt;=$D98,AM$6&lt;=$E98),1,IF(AND($F98&gt;0,AM$6=$F98),"◆",""))</f>
        <v/>
      </c>
      <c r="AN98" s="78" t="str">
        <f>IF(AND($D98&gt;0,AN$6&gt;=$D98,AN$6&lt;=$E98),1,IF(AND($F98&gt;0,AN$6=$F98),"◆",""))</f>
        <v/>
      </c>
      <c r="AO98" s="78" t="str">
        <f>IF(AND($D98&gt;0,AO$6&gt;=$D98,AO$6&lt;=$E98),1,IF(AND($F98&gt;0,AO$6=$F98),"◆",""))</f>
        <v/>
      </c>
      <c r="AP98" s="78" t="str">
        <f>IF(AND($D98&gt;0,AP$6&gt;=$D98,AP$6&lt;=$E98),1,IF(AND($F98&gt;0,AP$6=$F98),"◆",""))</f>
        <v/>
      </c>
      <c r="AQ98" s="78" t="str">
        <f>IF(AND($D98&gt;0,AQ$6&gt;=$D98,AQ$6&lt;=$E98),1,IF(AND($F98&gt;0,AQ$6=$F98),"◆",""))</f>
        <v/>
      </c>
      <c r="AR98" s="78" t="str">
        <f>IF(AND($D98&gt;0,AR$6&gt;=$D98,AR$6&lt;=$E98),1,IF(AND($F98&gt;0,AR$6=$F98),"◆",""))</f>
        <v/>
      </c>
      <c r="AS98" s="78" t="str">
        <f>IF(AND($D98&gt;0,AS$6&gt;=$D98,AS$6&lt;=$E98),1,IF(AND($F98&gt;0,AS$6=$F98),"◆",""))</f>
        <v/>
      </c>
      <c r="AT98" s="78" t="str">
        <f>IF(AND($D98&gt;0,AT$6&gt;=$D98,AT$6&lt;=$E98),1,IF(AND($F98&gt;0,AT$6=$F98),"◆",""))</f>
        <v/>
      </c>
      <c r="AU98" s="78" t="str">
        <f>IF(AND($D98&gt;0,AU$6&gt;=$D98,AU$6&lt;=$E98),1,IF(AND($F98&gt;0,AU$6=$F98),"◆",""))</f>
        <v/>
      </c>
      <c r="AV98" s="78" t="str">
        <f>IF(AND($D98&gt;0,AV$6&gt;=$D98,AV$6&lt;=$E98),1,IF(AND($F98&gt;0,AV$6=$F98),"◆",""))</f>
        <v/>
      </c>
      <c r="AW98" s="78" t="str">
        <f>IF(AND($D98&gt;0,AW$6&gt;=$D98,AW$6&lt;=$E98),1,IF(AND($F98&gt;0,AW$6=$F98),"◆",""))</f>
        <v/>
      </c>
      <c r="AX98" s="78" t="str">
        <f>IF(AND($D98&gt;0,AX$6&gt;=$D98,AX$6&lt;=$E98),1,IF(AND($F98&gt;0,AX$6=$F98),"◆",""))</f>
        <v/>
      </c>
      <c r="AY98" s="78" t="str">
        <f>IF(AND($D98&gt;0,AY$6&gt;=$D98,AY$6&lt;=$E98),1,IF(AND($F98&gt;0,AY$6=$F98),"◆",""))</f>
        <v/>
      </c>
      <c r="AZ98" s="78" t="str">
        <f>IF(AND($D98&gt;0,AZ$6&gt;=$D98,AZ$6&lt;=$E98),1,IF(AND($F98&gt;0,AZ$6=$F98),"◆",""))</f>
        <v/>
      </c>
      <c r="BA98" s="78" t="str">
        <f>IF(AND($D98&gt;0,BA$6&gt;=$D98,BA$6&lt;=$E98),1,IF(AND($F98&gt;0,BA$6=$F98),"◆",""))</f>
        <v/>
      </c>
      <c r="BB98" s="78" t="str">
        <f>IF(AND($D98&gt;0,BB$6&gt;=$D98,BB$6&lt;=$E98),1,IF(AND($F98&gt;0,BB$6=$F98),"◆",""))</f>
        <v/>
      </c>
      <c r="BC98" s="78" t="str">
        <f>IF(AND($D98&gt;0,BC$6&gt;=$D98,BC$6&lt;=$E98),1,IF(AND($F98&gt;0,BC$6=$F98),"◆",""))</f>
        <v/>
      </c>
      <c r="BD98" s="78" t="str">
        <f>IF(AND($D98&gt;0,BD$6&gt;=$D98,BD$6&lt;=$E98),1,IF(AND($F98&gt;0,BD$6=$F98),"◆",""))</f>
        <v/>
      </c>
      <c r="BE98" s="78" t="str">
        <f>IF(AND($D98&gt;0,BE$6&gt;=$D98,BE$6&lt;=$E98),1,IF(AND($F98&gt;0,BE$6=$F98),"◆",""))</f>
        <v/>
      </c>
      <c r="BF98" s="78" t="str">
        <f>IF(AND($D98&gt;0,BF$6&gt;=$D98,BF$6&lt;=$E98),1,IF(AND($F98&gt;0,BF$6=$F98),"◆",""))</f>
        <v/>
      </c>
      <c r="BG98" s="78" t="str">
        <f>IF(AND($D98&gt;0,BG$6&gt;=$D98,BG$6&lt;=$E98),1,IF(AND($F98&gt;0,BG$6=$F98),"◆",""))</f>
        <v/>
      </c>
      <c r="BH98" s="78" t="str">
        <f>IF(AND($D98&gt;0,BH$6&gt;=$D98,BH$6&lt;=$E98),1,IF(AND($F98&gt;0,BH$6=$F98),"◆",""))</f>
        <v/>
      </c>
      <c r="BI98" s="78" t="str">
        <f>IF(AND($D98&gt;0,BI$6&gt;=$D98,BI$6&lt;=$E98),1,IF(AND($F98&gt;0,BI$6=$F98),"◆",""))</f>
        <v/>
      </c>
      <c r="BJ98" s="78" t="str">
        <f>IF(AND($D98&gt;0,BJ$6&gt;=$D98,BJ$6&lt;=$E98),1,IF(AND($F98&gt;0,BJ$6=$F98),"◆",""))</f>
        <v/>
      </c>
      <c r="BK98" s="78" t="str">
        <f>IF(AND($D98&gt;0,BK$6&gt;=$D98,BK$6&lt;=$E98),1,IF(AND($F98&gt;0,BK$6=$F98),"◆",""))</f>
        <v/>
      </c>
      <c r="BL98" s="78" t="str">
        <f>IF(AND($D98&gt;0,BL$6&gt;=$D98,BL$6&lt;=$E98),1,IF(AND($F98&gt;0,BL$6=$F98),"◆",""))</f>
        <v/>
      </c>
      <c r="BM98" s="78" t="str">
        <f>IF(AND($D98&gt;0,BM$6&gt;=$D98,BM$6&lt;=$E98),1,IF(AND($F98&gt;0,BM$6=$F98),"◆",""))</f>
        <v/>
      </c>
      <c r="BN98" s="78" t="str">
        <f>IF(AND($D98&gt;0,BN$6&gt;=$D98,BN$6&lt;=$E98),1,IF(AND($F98&gt;0,BN$6=$F98),"◆",""))</f>
        <v/>
      </c>
      <c r="BO98" s="78" t="str">
        <f>IF(AND($D98&gt;0,BO$6&gt;=$D98,BO$6&lt;=$E98),1,IF(AND($F98&gt;0,BO$6=$F98),"◆",""))</f>
        <v/>
      </c>
      <c r="BP98" s="78" t="str">
        <f>IF(AND($D98&gt;0,BP$6&gt;=$D98,BP$6&lt;=$E98),1,IF(AND($F98&gt;0,BP$6=$F98),"◆",""))</f>
        <v/>
      </c>
    </row>
    <row r="99">
      <c r="A99" s="75" t="str">
        <f>IF(INDEX(of_ref,93)="","",INDEX(of_num,93)&amp;"")</f>
        <v/>
      </c>
      <c r="B99" s="75" t="str">
        <f>IF(INDEX(of_ref,93)="","",INDEX(of_des,93)&amp;"")</f>
        <v/>
      </c>
      <c r="C99" s="76" t="str">
        <f>IF(INDEX(of_ref,93)="","",INDEX(of_poste,93)&amp;"")</f>
        <v/>
      </c>
      <c r="D99" s="77">
        <f>INDEX(of_start,93)</f>
        <v>0.0</v>
      </c>
      <c r="E99" s="77">
        <f>INDEX(of_end,93)</f>
        <v>0.0</v>
      </c>
      <c r="F99" s="77">
        <f>IF(N(INDEX(of_need,93))=0,0,INDEX(of_need,93))</f>
        <v>0.0</v>
      </c>
      <c r="G99" s="76" t="str">
        <f>IF(INDEX(of_ref,93)="","",INDEX(of_etat,93)&amp;"")</f>
        <v/>
      </c>
      <c r="I99" s="78" t="str">
        <f>IF(AND($D99&gt;0,I$6&gt;=$D99,I$6&lt;=$E99),1,IF(AND($F99&gt;0,I$6=$F99),"◆",""))</f>
        <v/>
      </c>
      <c r="J99" s="78" t="str">
        <f>IF(AND($D99&gt;0,J$6&gt;=$D99,J$6&lt;=$E99),1,IF(AND($F99&gt;0,J$6=$F99),"◆",""))</f>
        <v/>
      </c>
      <c r="K99" s="78" t="str">
        <f>IF(AND($D99&gt;0,K$6&gt;=$D99,K$6&lt;=$E99),1,IF(AND($F99&gt;0,K$6=$F99),"◆",""))</f>
        <v/>
      </c>
      <c r="L99" s="78" t="str">
        <f>IF(AND($D99&gt;0,L$6&gt;=$D99,L$6&lt;=$E99),1,IF(AND($F99&gt;0,L$6=$F99),"◆",""))</f>
        <v/>
      </c>
      <c r="M99" s="78" t="str">
        <f>IF(AND($D99&gt;0,M$6&gt;=$D99,M$6&lt;=$E99),1,IF(AND($F99&gt;0,M$6=$F99),"◆",""))</f>
        <v/>
      </c>
      <c r="N99" s="78" t="str">
        <f>IF(AND($D99&gt;0,N$6&gt;=$D99,N$6&lt;=$E99),1,IF(AND($F99&gt;0,N$6=$F99),"◆",""))</f>
        <v/>
      </c>
      <c r="O99" s="78" t="str">
        <f>IF(AND($D99&gt;0,O$6&gt;=$D99,O$6&lt;=$E99),1,IF(AND($F99&gt;0,O$6=$F99),"◆",""))</f>
        <v/>
      </c>
      <c r="P99" s="78" t="str">
        <f>IF(AND($D99&gt;0,P$6&gt;=$D99,P$6&lt;=$E99),1,IF(AND($F99&gt;0,P$6=$F99),"◆",""))</f>
        <v/>
      </c>
      <c r="Q99" s="78" t="str">
        <f>IF(AND($D99&gt;0,Q$6&gt;=$D99,Q$6&lt;=$E99),1,IF(AND($F99&gt;0,Q$6=$F99),"◆",""))</f>
        <v/>
      </c>
      <c r="R99" s="78" t="str">
        <f>IF(AND($D99&gt;0,R$6&gt;=$D99,R$6&lt;=$E99),1,IF(AND($F99&gt;0,R$6=$F99),"◆",""))</f>
        <v/>
      </c>
      <c r="S99" s="78" t="str">
        <f>IF(AND($D99&gt;0,S$6&gt;=$D99,S$6&lt;=$E99),1,IF(AND($F99&gt;0,S$6=$F99),"◆",""))</f>
        <v/>
      </c>
      <c r="T99" s="78" t="str">
        <f>IF(AND($D99&gt;0,T$6&gt;=$D99,T$6&lt;=$E99),1,IF(AND($F99&gt;0,T$6=$F99),"◆",""))</f>
        <v/>
      </c>
      <c r="U99" s="78" t="str">
        <f>IF(AND($D99&gt;0,U$6&gt;=$D99,U$6&lt;=$E99),1,IF(AND($F99&gt;0,U$6=$F99),"◆",""))</f>
        <v/>
      </c>
      <c r="V99" s="78" t="str">
        <f>IF(AND($D99&gt;0,V$6&gt;=$D99,V$6&lt;=$E99),1,IF(AND($F99&gt;0,V$6=$F99),"◆",""))</f>
        <v/>
      </c>
      <c r="W99" s="78" t="str">
        <f>IF(AND($D99&gt;0,W$6&gt;=$D99,W$6&lt;=$E99),1,IF(AND($F99&gt;0,W$6=$F99),"◆",""))</f>
        <v/>
      </c>
      <c r="X99" s="78" t="str">
        <f>IF(AND($D99&gt;0,X$6&gt;=$D99,X$6&lt;=$E99),1,IF(AND($F99&gt;0,X$6=$F99),"◆",""))</f>
        <v/>
      </c>
      <c r="Y99" s="78" t="str">
        <f>IF(AND($D99&gt;0,Y$6&gt;=$D99,Y$6&lt;=$E99),1,IF(AND($F99&gt;0,Y$6=$F99),"◆",""))</f>
        <v/>
      </c>
      <c r="Z99" s="78" t="str">
        <f>IF(AND($D99&gt;0,Z$6&gt;=$D99,Z$6&lt;=$E99),1,IF(AND($F99&gt;0,Z$6=$F99),"◆",""))</f>
        <v/>
      </c>
      <c r="AA99" s="78" t="str">
        <f>IF(AND($D99&gt;0,AA$6&gt;=$D99,AA$6&lt;=$E99),1,IF(AND($F99&gt;0,AA$6=$F99),"◆",""))</f>
        <v/>
      </c>
      <c r="AB99" s="78" t="str">
        <f>IF(AND($D99&gt;0,AB$6&gt;=$D99,AB$6&lt;=$E99),1,IF(AND($F99&gt;0,AB$6=$F99),"◆",""))</f>
        <v/>
      </c>
      <c r="AC99" s="78" t="str">
        <f>IF(AND($D99&gt;0,AC$6&gt;=$D99,AC$6&lt;=$E99),1,IF(AND($F99&gt;0,AC$6=$F99),"◆",""))</f>
        <v/>
      </c>
      <c r="AD99" s="78" t="str">
        <f>IF(AND($D99&gt;0,AD$6&gt;=$D99,AD$6&lt;=$E99),1,IF(AND($F99&gt;0,AD$6=$F99),"◆",""))</f>
        <v/>
      </c>
      <c r="AE99" s="78" t="str">
        <f>IF(AND($D99&gt;0,AE$6&gt;=$D99,AE$6&lt;=$E99),1,IF(AND($F99&gt;0,AE$6=$F99),"◆",""))</f>
        <v/>
      </c>
      <c r="AF99" s="78" t="str">
        <f>IF(AND($D99&gt;0,AF$6&gt;=$D99,AF$6&lt;=$E99),1,IF(AND($F99&gt;0,AF$6=$F99),"◆",""))</f>
        <v/>
      </c>
      <c r="AG99" s="78" t="str">
        <f>IF(AND($D99&gt;0,AG$6&gt;=$D99,AG$6&lt;=$E99),1,IF(AND($F99&gt;0,AG$6=$F99),"◆",""))</f>
        <v/>
      </c>
      <c r="AH99" s="78" t="str">
        <f>IF(AND($D99&gt;0,AH$6&gt;=$D99,AH$6&lt;=$E99),1,IF(AND($F99&gt;0,AH$6=$F99),"◆",""))</f>
        <v/>
      </c>
      <c r="AI99" s="78" t="str">
        <f>IF(AND($D99&gt;0,AI$6&gt;=$D99,AI$6&lt;=$E99),1,IF(AND($F99&gt;0,AI$6=$F99),"◆",""))</f>
        <v/>
      </c>
      <c r="AJ99" s="78" t="str">
        <f>IF(AND($D99&gt;0,AJ$6&gt;=$D99,AJ$6&lt;=$E99),1,IF(AND($F99&gt;0,AJ$6=$F99),"◆",""))</f>
        <v/>
      </c>
      <c r="AK99" s="78" t="str">
        <f>IF(AND($D99&gt;0,AK$6&gt;=$D99,AK$6&lt;=$E99),1,IF(AND($F99&gt;0,AK$6=$F99),"◆",""))</f>
        <v/>
      </c>
      <c r="AL99" s="78" t="str">
        <f>IF(AND($D99&gt;0,AL$6&gt;=$D99,AL$6&lt;=$E99),1,IF(AND($F99&gt;0,AL$6=$F99),"◆",""))</f>
        <v/>
      </c>
      <c r="AM99" s="78" t="str">
        <f>IF(AND($D99&gt;0,AM$6&gt;=$D99,AM$6&lt;=$E99),1,IF(AND($F99&gt;0,AM$6=$F99),"◆",""))</f>
        <v/>
      </c>
      <c r="AN99" s="78" t="str">
        <f>IF(AND($D99&gt;0,AN$6&gt;=$D99,AN$6&lt;=$E99),1,IF(AND($F99&gt;0,AN$6=$F99),"◆",""))</f>
        <v/>
      </c>
      <c r="AO99" s="78" t="str">
        <f>IF(AND($D99&gt;0,AO$6&gt;=$D99,AO$6&lt;=$E99),1,IF(AND($F99&gt;0,AO$6=$F99),"◆",""))</f>
        <v/>
      </c>
      <c r="AP99" s="78" t="str">
        <f>IF(AND($D99&gt;0,AP$6&gt;=$D99,AP$6&lt;=$E99),1,IF(AND($F99&gt;0,AP$6=$F99),"◆",""))</f>
        <v/>
      </c>
      <c r="AQ99" s="78" t="str">
        <f>IF(AND($D99&gt;0,AQ$6&gt;=$D99,AQ$6&lt;=$E99),1,IF(AND($F99&gt;0,AQ$6=$F99),"◆",""))</f>
        <v/>
      </c>
      <c r="AR99" s="78" t="str">
        <f>IF(AND($D99&gt;0,AR$6&gt;=$D99,AR$6&lt;=$E99),1,IF(AND($F99&gt;0,AR$6=$F99),"◆",""))</f>
        <v/>
      </c>
      <c r="AS99" s="78" t="str">
        <f>IF(AND($D99&gt;0,AS$6&gt;=$D99,AS$6&lt;=$E99),1,IF(AND($F99&gt;0,AS$6=$F99),"◆",""))</f>
        <v/>
      </c>
      <c r="AT99" s="78" t="str">
        <f>IF(AND($D99&gt;0,AT$6&gt;=$D99,AT$6&lt;=$E99),1,IF(AND($F99&gt;0,AT$6=$F99),"◆",""))</f>
        <v/>
      </c>
      <c r="AU99" s="78" t="str">
        <f>IF(AND($D99&gt;0,AU$6&gt;=$D99,AU$6&lt;=$E99),1,IF(AND($F99&gt;0,AU$6=$F99),"◆",""))</f>
        <v/>
      </c>
      <c r="AV99" s="78" t="str">
        <f>IF(AND($D99&gt;0,AV$6&gt;=$D99,AV$6&lt;=$E99),1,IF(AND($F99&gt;0,AV$6=$F99),"◆",""))</f>
        <v/>
      </c>
      <c r="AW99" s="78" t="str">
        <f>IF(AND($D99&gt;0,AW$6&gt;=$D99,AW$6&lt;=$E99),1,IF(AND($F99&gt;0,AW$6=$F99),"◆",""))</f>
        <v/>
      </c>
      <c r="AX99" s="78" t="str">
        <f>IF(AND($D99&gt;0,AX$6&gt;=$D99,AX$6&lt;=$E99),1,IF(AND($F99&gt;0,AX$6=$F99),"◆",""))</f>
        <v/>
      </c>
      <c r="AY99" s="78" t="str">
        <f>IF(AND($D99&gt;0,AY$6&gt;=$D99,AY$6&lt;=$E99),1,IF(AND($F99&gt;0,AY$6=$F99),"◆",""))</f>
        <v/>
      </c>
      <c r="AZ99" s="78" t="str">
        <f>IF(AND($D99&gt;0,AZ$6&gt;=$D99,AZ$6&lt;=$E99),1,IF(AND($F99&gt;0,AZ$6=$F99),"◆",""))</f>
        <v/>
      </c>
      <c r="BA99" s="78" t="str">
        <f>IF(AND($D99&gt;0,BA$6&gt;=$D99,BA$6&lt;=$E99),1,IF(AND($F99&gt;0,BA$6=$F99),"◆",""))</f>
        <v/>
      </c>
      <c r="BB99" s="78" t="str">
        <f>IF(AND($D99&gt;0,BB$6&gt;=$D99,BB$6&lt;=$E99),1,IF(AND($F99&gt;0,BB$6=$F99),"◆",""))</f>
        <v/>
      </c>
      <c r="BC99" s="78" t="str">
        <f>IF(AND($D99&gt;0,BC$6&gt;=$D99,BC$6&lt;=$E99),1,IF(AND($F99&gt;0,BC$6=$F99),"◆",""))</f>
        <v/>
      </c>
      <c r="BD99" s="78" t="str">
        <f>IF(AND($D99&gt;0,BD$6&gt;=$D99,BD$6&lt;=$E99),1,IF(AND($F99&gt;0,BD$6=$F99),"◆",""))</f>
        <v/>
      </c>
      <c r="BE99" s="78" t="str">
        <f>IF(AND($D99&gt;0,BE$6&gt;=$D99,BE$6&lt;=$E99),1,IF(AND($F99&gt;0,BE$6=$F99),"◆",""))</f>
        <v/>
      </c>
      <c r="BF99" s="78" t="str">
        <f>IF(AND($D99&gt;0,BF$6&gt;=$D99,BF$6&lt;=$E99),1,IF(AND($F99&gt;0,BF$6=$F99),"◆",""))</f>
        <v/>
      </c>
      <c r="BG99" s="78" t="str">
        <f>IF(AND($D99&gt;0,BG$6&gt;=$D99,BG$6&lt;=$E99),1,IF(AND($F99&gt;0,BG$6=$F99),"◆",""))</f>
        <v/>
      </c>
      <c r="BH99" s="78" t="str">
        <f>IF(AND($D99&gt;0,BH$6&gt;=$D99,BH$6&lt;=$E99),1,IF(AND($F99&gt;0,BH$6=$F99),"◆",""))</f>
        <v/>
      </c>
      <c r="BI99" s="78" t="str">
        <f>IF(AND($D99&gt;0,BI$6&gt;=$D99,BI$6&lt;=$E99),1,IF(AND($F99&gt;0,BI$6=$F99),"◆",""))</f>
        <v/>
      </c>
      <c r="BJ99" s="78" t="str">
        <f>IF(AND($D99&gt;0,BJ$6&gt;=$D99,BJ$6&lt;=$E99),1,IF(AND($F99&gt;0,BJ$6=$F99),"◆",""))</f>
        <v/>
      </c>
      <c r="BK99" s="78" t="str">
        <f>IF(AND($D99&gt;0,BK$6&gt;=$D99,BK$6&lt;=$E99),1,IF(AND($F99&gt;0,BK$6=$F99),"◆",""))</f>
        <v/>
      </c>
      <c r="BL99" s="78" t="str">
        <f>IF(AND($D99&gt;0,BL$6&gt;=$D99,BL$6&lt;=$E99),1,IF(AND($F99&gt;0,BL$6=$F99),"◆",""))</f>
        <v/>
      </c>
      <c r="BM99" s="78" t="str">
        <f>IF(AND($D99&gt;0,BM$6&gt;=$D99,BM$6&lt;=$E99),1,IF(AND($F99&gt;0,BM$6=$F99),"◆",""))</f>
        <v/>
      </c>
      <c r="BN99" s="78" t="str">
        <f>IF(AND($D99&gt;0,BN$6&gt;=$D99,BN$6&lt;=$E99),1,IF(AND($F99&gt;0,BN$6=$F99),"◆",""))</f>
        <v/>
      </c>
      <c r="BO99" s="78" t="str">
        <f>IF(AND($D99&gt;0,BO$6&gt;=$D99,BO$6&lt;=$E99),1,IF(AND($F99&gt;0,BO$6=$F99),"◆",""))</f>
        <v/>
      </c>
      <c r="BP99" s="78" t="str">
        <f>IF(AND($D99&gt;0,BP$6&gt;=$D99,BP$6&lt;=$E99),1,IF(AND($F99&gt;0,BP$6=$F99),"◆",""))</f>
        <v/>
      </c>
    </row>
    <row r="100">
      <c r="A100" s="75" t="str">
        <f>IF(INDEX(of_ref,94)="","",INDEX(of_num,94)&amp;"")</f>
        <v/>
      </c>
      <c r="B100" s="75" t="str">
        <f>IF(INDEX(of_ref,94)="","",INDEX(of_des,94)&amp;"")</f>
        <v/>
      </c>
      <c r="C100" s="76" t="str">
        <f>IF(INDEX(of_ref,94)="","",INDEX(of_poste,94)&amp;"")</f>
        <v/>
      </c>
      <c r="D100" s="77">
        <f>INDEX(of_start,94)</f>
        <v>0.0</v>
      </c>
      <c r="E100" s="77">
        <f>INDEX(of_end,94)</f>
        <v>0.0</v>
      </c>
      <c r="F100" s="77">
        <f>IF(N(INDEX(of_need,94))=0,0,INDEX(of_need,94))</f>
        <v>0.0</v>
      </c>
      <c r="G100" s="76" t="str">
        <f>IF(INDEX(of_ref,94)="","",INDEX(of_etat,94)&amp;"")</f>
        <v/>
      </c>
      <c r="I100" s="78" t="str">
        <f>IF(AND($D100&gt;0,I$6&gt;=$D100,I$6&lt;=$E100),1,IF(AND($F100&gt;0,I$6=$F100),"◆",""))</f>
        <v/>
      </c>
      <c r="J100" s="78" t="str">
        <f>IF(AND($D100&gt;0,J$6&gt;=$D100,J$6&lt;=$E100),1,IF(AND($F100&gt;0,J$6=$F100),"◆",""))</f>
        <v/>
      </c>
      <c r="K100" s="78" t="str">
        <f>IF(AND($D100&gt;0,K$6&gt;=$D100,K$6&lt;=$E100),1,IF(AND($F100&gt;0,K$6=$F100),"◆",""))</f>
        <v/>
      </c>
      <c r="L100" s="78" t="str">
        <f>IF(AND($D100&gt;0,L$6&gt;=$D100,L$6&lt;=$E100),1,IF(AND($F100&gt;0,L$6=$F100),"◆",""))</f>
        <v/>
      </c>
      <c r="M100" s="78" t="str">
        <f>IF(AND($D100&gt;0,M$6&gt;=$D100,M$6&lt;=$E100),1,IF(AND($F100&gt;0,M$6=$F100),"◆",""))</f>
        <v/>
      </c>
      <c r="N100" s="78" t="str">
        <f>IF(AND($D100&gt;0,N$6&gt;=$D100,N$6&lt;=$E100),1,IF(AND($F100&gt;0,N$6=$F100),"◆",""))</f>
        <v/>
      </c>
      <c r="O100" s="78" t="str">
        <f>IF(AND($D100&gt;0,O$6&gt;=$D100,O$6&lt;=$E100),1,IF(AND($F100&gt;0,O$6=$F100),"◆",""))</f>
        <v/>
      </c>
      <c r="P100" s="78" t="str">
        <f>IF(AND($D100&gt;0,P$6&gt;=$D100,P$6&lt;=$E100),1,IF(AND($F100&gt;0,P$6=$F100),"◆",""))</f>
        <v/>
      </c>
      <c r="Q100" s="78" t="str">
        <f>IF(AND($D100&gt;0,Q$6&gt;=$D100,Q$6&lt;=$E100),1,IF(AND($F100&gt;0,Q$6=$F100),"◆",""))</f>
        <v/>
      </c>
      <c r="R100" s="78" t="str">
        <f>IF(AND($D100&gt;0,R$6&gt;=$D100,R$6&lt;=$E100),1,IF(AND($F100&gt;0,R$6=$F100),"◆",""))</f>
        <v/>
      </c>
      <c r="S100" s="78" t="str">
        <f>IF(AND($D100&gt;0,S$6&gt;=$D100,S$6&lt;=$E100),1,IF(AND($F100&gt;0,S$6=$F100),"◆",""))</f>
        <v/>
      </c>
      <c r="T100" s="78" t="str">
        <f>IF(AND($D100&gt;0,T$6&gt;=$D100,T$6&lt;=$E100),1,IF(AND($F100&gt;0,T$6=$F100),"◆",""))</f>
        <v/>
      </c>
      <c r="U100" s="78" t="str">
        <f>IF(AND($D100&gt;0,U$6&gt;=$D100,U$6&lt;=$E100),1,IF(AND($F100&gt;0,U$6=$F100),"◆",""))</f>
        <v/>
      </c>
      <c r="V100" s="78" t="str">
        <f>IF(AND($D100&gt;0,V$6&gt;=$D100,V$6&lt;=$E100),1,IF(AND($F100&gt;0,V$6=$F100),"◆",""))</f>
        <v/>
      </c>
      <c r="W100" s="78" t="str">
        <f>IF(AND($D100&gt;0,W$6&gt;=$D100,W$6&lt;=$E100),1,IF(AND($F100&gt;0,W$6=$F100),"◆",""))</f>
        <v/>
      </c>
      <c r="X100" s="78" t="str">
        <f>IF(AND($D100&gt;0,X$6&gt;=$D100,X$6&lt;=$E100),1,IF(AND($F100&gt;0,X$6=$F100),"◆",""))</f>
        <v/>
      </c>
      <c r="Y100" s="78" t="str">
        <f>IF(AND($D100&gt;0,Y$6&gt;=$D100,Y$6&lt;=$E100),1,IF(AND($F100&gt;0,Y$6=$F100),"◆",""))</f>
        <v/>
      </c>
      <c r="Z100" s="78" t="str">
        <f>IF(AND($D100&gt;0,Z$6&gt;=$D100,Z$6&lt;=$E100),1,IF(AND($F100&gt;0,Z$6=$F100),"◆",""))</f>
        <v/>
      </c>
      <c r="AA100" s="78" t="str">
        <f>IF(AND($D100&gt;0,AA$6&gt;=$D100,AA$6&lt;=$E100),1,IF(AND($F100&gt;0,AA$6=$F100),"◆",""))</f>
        <v/>
      </c>
      <c r="AB100" s="78" t="str">
        <f>IF(AND($D100&gt;0,AB$6&gt;=$D100,AB$6&lt;=$E100),1,IF(AND($F100&gt;0,AB$6=$F100),"◆",""))</f>
        <v/>
      </c>
      <c r="AC100" s="78" t="str">
        <f>IF(AND($D100&gt;0,AC$6&gt;=$D100,AC$6&lt;=$E100),1,IF(AND($F100&gt;0,AC$6=$F100),"◆",""))</f>
        <v/>
      </c>
      <c r="AD100" s="78" t="str">
        <f>IF(AND($D100&gt;0,AD$6&gt;=$D100,AD$6&lt;=$E100),1,IF(AND($F100&gt;0,AD$6=$F100),"◆",""))</f>
        <v/>
      </c>
      <c r="AE100" s="78" t="str">
        <f>IF(AND($D100&gt;0,AE$6&gt;=$D100,AE$6&lt;=$E100),1,IF(AND($F100&gt;0,AE$6=$F100),"◆",""))</f>
        <v/>
      </c>
      <c r="AF100" s="78" t="str">
        <f>IF(AND($D100&gt;0,AF$6&gt;=$D100,AF$6&lt;=$E100),1,IF(AND($F100&gt;0,AF$6=$F100),"◆",""))</f>
        <v/>
      </c>
      <c r="AG100" s="78" t="str">
        <f>IF(AND($D100&gt;0,AG$6&gt;=$D100,AG$6&lt;=$E100),1,IF(AND($F100&gt;0,AG$6=$F100),"◆",""))</f>
        <v/>
      </c>
      <c r="AH100" s="78" t="str">
        <f>IF(AND($D100&gt;0,AH$6&gt;=$D100,AH$6&lt;=$E100),1,IF(AND($F100&gt;0,AH$6=$F100),"◆",""))</f>
        <v/>
      </c>
      <c r="AI100" s="78" t="str">
        <f>IF(AND($D100&gt;0,AI$6&gt;=$D100,AI$6&lt;=$E100),1,IF(AND($F100&gt;0,AI$6=$F100),"◆",""))</f>
        <v/>
      </c>
      <c r="AJ100" s="78" t="str">
        <f>IF(AND($D100&gt;0,AJ$6&gt;=$D100,AJ$6&lt;=$E100),1,IF(AND($F100&gt;0,AJ$6=$F100),"◆",""))</f>
        <v/>
      </c>
      <c r="AK100" s="78" t="str">
        <f>IF(AND($D100&gt;0,AK$6&gt;=$D100,AK$6&lt;=$E100),1,IF(AND($F100&gt;0,AK$6=$F100),"◆",""))</f>
        <v/>
      </c>
      <c r="AL100" s="78" t="str">
        <f>IF(AND($D100&gt;0,AL$6&gt;=$D100,AL$6&lt;=$E100),1,IF(AND($F100&gt;0,AL$6=$F100),"◆",""))</f>
        <v/>
      </c>
      <c r="AM100" s="78" t="str">
        <f>IF(AND($D100&gt;0,AM$6&gt;=$D100,AM$6&lt;=$E100),1,IF(AND($F100&gt;0,AM$6=$F100),"◆",""))</f>
        <v/>
      </c>
      <c r="AN100" s="78" t="str">
        <f>IF(AND($D100&gt;0,AN$6&gt;=$D100,AN$6&lt;=$E100),1,IF(AND($F100&gt;0,AN$6=$F100),"◆",""))</f>
        <v/>
      </c>
      <c r="AO100" s="78" t="str">
        <f>IF(AND($D100&gt;0,AO$6&gt;=$D100,AO$6&lt;=$E100),1,IF(AND($F100&gt;0,AO$6=$F100),"◆",""))</f>
        <v/>
      </c>
      <c r="AP100" s="78" t="str">
        <f>IF(AND($D100&gt;0,AP$6&gt;=$D100,AP$6&lt;=$E100),1,IF(AND($F100&gt;0,AP$6=$F100),"◆",""))</f>
        <v/>
      </c>
      <c r="AQ100" s="78" t="str">
        <f>IF(AND($D100&gt;0,AQ$6&gt;=$D100,AQ$6&lt;=$E100),1,IF(AND($F100&gt;0,AQ$6=$F100),"◆",""))</f>
        <v/>
      </c>
      <c r="AR100" s="78" t="str">
        <f>IF(AND($D100&gt;0,AR$6&gt;=$D100,AR$6&lt;=$E100),1,IF(AND($F100&gt;0,AR$6=$F100),"◆",""))</f>
        <v/>
      </c>
      <c r="AS100" s="78" t="str">
        <f>IF(AND($D100&gt;0,AS$6&gt;=$D100,AS$6&lt;=$E100),1,IF(AND($F100&gt;0,AS$6=$F100),"◆",""))</f>
        <v/>
      </c>
      <c r="AT100" s="78" t="str">
        <f>IF(AND($D100&gt;0,AT$6&gt;=$D100,AT$6&lt;=$E100),1,IF(AND($F100&gt;0,AT$6=$F100),"◆",""))</f>
        <v/>
      </c>
      <c r="AU100" s="78" t="str">
        <f>IF(AND($D100&gt;0,AU$6&gt;=$D100,AU$6&lt;=$E100),1,IF(AND($F100&gt;0,AU$6=$F100),"◆",""))</f>
        <v/>
      </c>
      <c r="AV100" s="78" t="str">
        <f>IF(AND($D100&gt;0,AV$6&gt;=$D100,AV$6&lt;=$E100),1,IF(AND($F100&gt;0,AV$6=$F100),"◆",""))</f>
        <v/>
      </c>
      <c r="AW100" s="78" t="str">
        <f>IF(AND($D100&gt;0,AW$6&gt;=$D100,AW$6&lt;=$E100),1,IF(AND($F100&gt;0,AW$6=$F100),"◆",""))</f>
        <v/>
      </c>
      <c r="AX100" s="78" t="str">
        <f>IF(AND($D100&gt;0,AX$6&gt;=$D100,AX$6&lt;=$E100),1,IF(AND($F100&gt;0,AX$6=$F100),"◆",""))</f>
        <v/>
      </c>
      <c r="AY100" s="78" t="str">
        <f>IF(AND($D100&gt;0,AY$6&gt;=$D100,AY$6&lt;=$E100),1,IF(AND($F100&gt;0,AY$6=$F100),"◆",""))</f>
        <v/>
      </c>
      <c r="AZ100" s="78" t="str">
        <f>IF(AND($D100&gt;0,AZ$6&gt;=$D100,AZ$6&lt;=$E100),1,IF(AND($F100&gt;0,AZ$6=$F100),"◆",""))</f>
        <v/>
      </c>
      <c r="BA100" s="78" t="str">
        <f>IF(AND($D100&gt;0,BA$6&gt;=$D100,BA$6&lt;=$E100),1,IF(AND($F100&gt;0,BA$6=$F100),"◆",""))</f>
        <v/>
      </c>
      <c r="BB100" s="78" t="str">
        <f>IF(AND($D100&gt;0,BB$6&gt;=$D100,BB$6&lt;=$E100),1,IF(AND($F100&gt;0,BB$6=$F100),"◆",""))</f>
        <v/>
      </c>
      <c r="BC100" s="78" t="str">
        <f>IF(AND($D100&gt;0,BC$6&gt;=$D100,BC$6&lt;=$E100),1,IF(AND($F100&gt;0,BC$6=$F100),"◆",""))</f>
        <v/>
      </c>
      <c r="BD100" s="78" t="str">
        <f>IF(AND($D100&gt;0,BD$6&gt;=$D100,BD$6&lt;=$E100),1,IF(AND($F100&gt;0,BD$6=$F100),"◆",""))</f>
        <v/>
      </c>
      <c r="BE100" s="78" t="str">
        <f>IF(AND($D100&gt;0,BE$6&gt;=$D100,BE$6&lt;=$E100),1,IF(AND($F100&gt;0,BE$6=$F100),"◆",""))</f>
        <v/>
      </c>
      <c r="BF100" s="78" t="str">
        <f>IF(AND($D100&gt;0,BF$6&gt;=$D100,BF$6&lt;=$E100),1,IF(AND($F100&gt;0,BF$6=$F100),"◆",""))</f>
        <v/>
      </c>
      <c r="BG100" s="78" t="str">
        <f>IF(AND($D100&gt;0,BG$6&gt;=$D100,BG$6&lt;=$E100),1,IF(AND($F100&gt;0,BG$6=$F100),"◆",""))</f>
        <v/>
      </c>
      <c r="BH100" s="78" t="str">
        <f>IF(AND($D100&gt;0,BH$6&gt;=$D100,BH$6&lt;=$E100),1,IF(AND($F100&gt;0,BH$6=$F100),"◆",""))</f>
        <v/>
      </c>
      <c r="BI100" s="78" t="str">
        <f>IF(AND($D100&gt;0,BI$6&gt;=$D100,BI$6&lt;=$E100),1,IF(AND($F100&gt;0,BI$6=$F100),"◆",""))</f>
        <v/>
      </c>
      <c r="BJ100" s="78" t="str">
        <f>IF(AND($D100&gt;0,BJ$6&gt;=$D100,BJ$6&lt;=$E100),1,IF(AND($F100&gt;0,BJ$6=$F100),"◆",""))</f>
        <v/>
      </c>
      <c r="BK100" s="78" t="str">
        <f>IF(AND($D100&gt;0,BK$6&gt;=$D100,BK$6&lt;=$E100),1,IF(AND($F100&gt;0,BK$6=$F100),"◆",""))</f>
        <v/>
      </c>
      <c r="BL100" s="78" t="str">
        <f>IF(AND($D100&gt;0,BL$6&gt;=$D100,BL$6&lt;=$E100),1,IF(AND($F100&gt;0,BL$6=$F100),"◆",""))</f>
        <v/>
      </c>
      <c r="BM100" s="78" t="str">
        <f>IF(AND($D100&gt;0,BM$6&gt;=$D100,BM$6&lt;=$E100),1,IF(AND($F100&gt;0,BM$6=$F100),"◆",""))</f>
        <v/>
      </c>
      <c r="BN100" s="78" t="str">
        <f>IF(AND($D100&gt;0,BN$6&gt;=$D100,BN$6&lt;=$E100),1,IF(AND($F100&gt;0,BN$6=$F100),"◆",""))</f>
        <v/>
      </c>
      <c r="BO100" s="78" t="str">
        <f>IF(AND($D100&gt;0,BO$6&gt;=$D100,BO$6&lt;=$E100),1,IF(AND($F100&gt;0,BO$6=$F100),"◆",""))</f>
        <v/>
      </c>
      <c r="BP100" s="78" t="str">
        <f>IF(AND($D100&gt;0,BP$6&gt;=$D100,BP$6&lt;=$E100),1,IF(AND($F100&gt;0,BP$6=$F100),"◆",""))</f>
        <v/>
      </c>
    </row>
    <row r="101">
      <c r="A101" s="75" t="str">
        <f>IF(INDEX(of_ref,95)="","",INDEX(of_num,95)&amp;"")</f>
        <v/>
      </c>
      <c r="B101" s="75" t="str">
        <f>IF(INDEX(of_ref,95)="","",INDEX(of_des,95)&amp;"")</f>
        <v/>
      </c>
      <c r="C101" s="76" t="str">
        <f>IF(INDEX(of_ref,95)="","",INDEX(of_poste,95)&amp;"")</f>
        <v/>
      </c>
      <c r="D101" s="77">
        <f>INDEX(of_start,95)</f>
        <v>0.0</v>
      </c>
      <c r="E101" s="77">
        <f>INDEX(of_end,95)</f>
        <v>0.0</v>
      </c>
      <c r="F101" s="77">
        <f>IF(N(INDEX(of_need,95))=0,0,INDEX(of_need,95))</f>
        <v>0.0</v>
      </c>
      <c r="G101" s="76" t="str">
        <f>IF(INDEX(of_ref,95)="","",INDEX(of_etat,95)&amp;"")</f>
        <v/>
      </c>
      <c r="I101" s="78" t="str">
        <f>IF(AND($D101&gt;0,I$6&gt;=$D101,I$6&lt;=$E101),1,IF(AND($F101&gt;0,I$6=$F101),"◆",""))</f>
        <v/>
      </c>
      <c r="J101" s="78" t="str">
        <f>IF(AND($D101&gt;0,J$6&gt;=$D101,J$6&lt;=$E101),1,IF(AND($F101&gt;0,J$6=$F101),"◆",""))</f>
        <v/>
      </c>
      <c r="K101" s="78" t="str">
        <f>IF(AND($D101&gt;0,K$6&gt;=$D101,K$6&lt;=$E101),1,IF(AND($F101&gt;0,K$6=$F101),"◆",""))</f>
        <v/>
      </c>
      <c r="L101" s="78" t="str">
        <f>IF(AND($D101&gt;0,L$6&gt;=$D101,L$6&lt;=$E101),1,IF(AND($F101&gt;0,L$6=$F101),"◆",""))</f>
        <v/>
      </c>
      <c r="M101" s="78" t="str">
        <f>IF(AND($D101&gt;0,M$6&gt;=$D101,M$6&lt;=$E101),1,IF(AND($F101&gt;0,M$6=$F101),"◆",""))</f>
        <v/>
      </c>
      <c r="N101" s="78" t="str">
        <f>IF(AND($D101&gt;0,N$6&gt;=$D101,N$6&lt;=$E101),1,IF(AND($F101&gt;0,N$6=$F101),"◆",""))</f>
        <v/>
      </c>
      <c r="O101" s="78" t="str">
        <f>IF(AND($D101&gt;0,O$6&gt;=$D101,O$6&lt;=$E101),1,IF(AND($F101&gt;0,O$6=$F101),"◆",""))</f>
        <v/>
      </c>
      <c r="P101" s="78" t="str">
        <f>IF(AND($D101&gt;0,P$6&gt;=$D101,P$6&lt;=$E101),1,IF(AND($F101&gt;0,P$6=$F101),"◆",""))</f>
        <v/>
      </c>
      <c r="Q101" s="78" t="str">
        <f>IF(AND($D101&gt;0,Q$6&gt;=$D101,Q$6&lt;=$E101),1,IF(AND($F101&gt;0,Q$6=$F101),"◆",""))</f>
        <v/>
      </c>
      <c r="R101" s="78" t="str">
        <f>IF(AND($D101&gt;0,R$6&gt;=$D101,R$6&lt;=$E101),1,IF(AND($F101&gt;0,R$6=$F101),"◆",""))</f>
        <v/>
      </c>
      <c r="S101" s="78" t="str">
        <f>IF(AND($D101&gt;0,S$6&gt;=$D101,S$6&lt;=$E101),1,IF(AND($F101&gt;0,S$6=$F101),"◆",""))</f>
        <v/>
      </c>
      <c r="T101" s="78" t="str">
        <f>IF(AND($D101&gt;0,T$6&gt;=$D101,T$6&lt;=$E101),1,IF(AND($F101&gt;0,T$6=$F101),"◆",""))</f>
        <v/>
      </c>
      <c r="U101" s="78" t="str">
        <f>IF(AND($D101&gt;0,U$6&gt;=$D101,U$6&lt;=$E101),1,IF(AND($F101&gt;0,U$6=$F101),"◆",""))</f>
        <v/>
      </c>
      <c r="V101" s="78" t="str">
        <f>IF(AND($D101&gt;0,V$6&gt;=$D101,V$6&lt;=$E101),1,IF(AND($F101&gt;0,V$6=$F101),"◆",""))</f>
        <v/>
      </c>
      <c r="W101" s="78" t="str">
        <f>IF(AND($D101&gt;0,W$6&gt;=$D101,W$6&lt;=$E101),1,IF(AND($F101&gt;0,W$6=$F101),"◆",""))</f>
        <v/>
      </c>
      <c r="X101" s="78" t="str">
        <f>IF(AND($D101&gt;0,X$6&gt;=$D101,X$6&lt;=$E101),1,IF(AND($F101&gt;0,X$6=$F101),"◆",""))</f>
        <v/>
      </c>
      <c r="Y101" s="78" t="str">
        <f>IF(AND($D101&gt;0,Y$6&gt;=$D101,Y$6&lt;=$E101),1,IF(AND($F101&gt;0,Y$6=$F101),"◆",""))</f>
        <v/>
      </c>
      <c r="Z101" s="78" t="str">
        <f>IF(AND($D101&gt;0,Z$6&gt;=$D101,Z$6&lt;=$E101),1,IF(AND($F101&gt;0,Z$6=$F101),"◆",""))</f>
        <v/>
      </c>
      <c r="AA101" s="78" t="str">
        <f>IF(AND($D101&gt;0,AA$6&gt;=$D101,AA$6&lt;=$E101),1,IF(AND($F101&gt;0,AA$6=$F101),"◆",""))</f>
        <v/>
      </c>
      <c r="AB101" s="78" t="str">
        <f>IF(AND($D101&gt;0,AB$6&gt;=$D101,AB$6&lt;=$E101),1,IF(AND($F101&gt;0,AB$6=$F101),"◆",""))</f>
        <v/>
      </c>
      <c r="AC101" s="78" t="str">
        <f>IF(AND($D101&gt;0,AC$6&gt;=$D101,AC$6&lt;=$E101),1,IF(AND($F101&gt;0,AC$6=$F101),"◆",""))</f>
        <v/>
      </c>
      <c r="AD101" s="78" t="str">
        <f>IF(AND($D101&gt;0,AD$6&gt;=$D101,AD$6&lt;=$E101),1,IF(AND($F101&gt;0,AD$6=$F101),"◆",""))</f>
        <v/>
      </c>
      <c r="AE101" s="78" t="str">
        <f>IF(AND($D101&gt;0,AE$6&gt;=$D101,AE$6&lt;=$E101),1,IF(AND($F101&gt;0,AE$6=$F101),"◆",""))</f>
        <v/>
      </c>
      <c r="AF101" s="78" t="str">
        <f>IF(AND($D101&gt;0,AF$6&gt;=$D101,AF$6&lt;=$E101),1,IF(AND($F101&gt;0,AF$6=$F101),"◆",""))</f>
        <v/>
      </c>
      <c r="AG101" s="78" t="str">
        <f>IF(AND($D101&gt;0,AG$6&gt;=$D101,AG$6&lt;=$E101),1,IF(AND($F101&gt;0,AG$6=$F101),"◆",""))</f>
        <v/>
      </c>
      <c r="AH101" s="78" t="str">
        <f>IF(AND($D101&gt;0,AH$6&gt;=$D101,AH$6&lt;=$E101),1,IF(AND($F101&gt;0,AH$6=$F101),"◆",""))</f>
        <v/>
      </c>
      <c r="AI101" s="78" t="str">
        <f>IF(AND($D101&gt;0,AI$6&gt;=$D101,AI$6&lt;=$E101),1,IF(AND($F101&gt;0,AI$6=$F101),"◆",""))</f>
        <v/>
      </c>
      <c r="AJ101" s="78" t="str">
        <f>IF(AND($D101&gt;0,AJ$6&gt;=$D101,AJ$6&lt;=$E101),1,IF(AND($F101&gt;0,AJ$6=$F101),"◆",""))</f>
        <v/>
      </c>
      <c r="AK101" s="78" t="str">
        <f>IF(AND($D101&gt;0,AK$6&gt;=$D101,AK$6&lt;=$E101),1,IF(AND($F101&gt;0,AK$6=$F101),"◆",""))</f>
        <v/>
      </c>
      <c r="AL101" s="78" t="str">
        <f>IF(AND($D101&gt;0,AL$6&gt;=$D101,AL$6&lt;=$E101),1,IF(AND($F101&gt;0,AL$6=$F101),"◆",""))</f>
        <v/>
      </c>
      <c r="AM101" s="78" t="str">
        <f>IF(AND($D101&gt;0,AM$6&gt;=$D101,AM$6&lt;=$E101),1,IF(AND($F101&gt;0,AM$6=$F101),"◆",""))</f>
        <v/>
      </c>
      <c r="AN101" s="78" t="str">
        <f>IF(AND($D101&gt;0,AN$6&gt;=$D101,AN$6&lt;=$E101),1,IF(AND($F101&gt;0,AN$6=$F101),"◆",""))</f>
        <v/>
      </c>
      <c r="AO101" s="78" t="str">
        <f>IF(AND($D101&gt;0,AO$6&gt;=$D101,AO$6&lt;=$E101),1,IF(AND($F101&gt;0,AO$6=$F101),"◆",""))</f>
        <v/>
      </c>
      <c r="AP101" s="78" t="str">
        <f>IF(AND($D101&gt;0,AP$6&gt;=$D101,AP$6&lt;=$E101),1,IF(AND($F101&gt;0,AP$6=$F101),"◆",""))</f>
        <v/>
      </c>
      <c r="AQ101" s="78" t="str">
        <f>IF(AND($D101&gt;0,AQ$6&gt;=$D101,AQ$6&lt;=$E101),1,IF(AND($F101&gt;0,AQ$6=$F101),"◆",""))</f>
        <v/>
      </c>
      <c r="AR101" s="78" t="str">
        <f>IF(AND($D101&gt;0,AR$6&gt;=$D101,AR$6&lt;=$E101),1,IF(AND($F101&gt;0,AR$6=$F101),"◆",""))</f>
        <v/>
      </c>
      <c r="AS101" s="78" t="str">
        <f>IF(AND($D101&gt;0,AS$6&gt;=$D101,AS$6&lt;=$E101),1,IF(AND($F101&gt;0,AS$6=$F101),"◆",""))</f>
        <v/>
      </c>
      <c r="AT101" s="78" t="str">
        <f>IF(AND($D101&gt;0,AT$6&gt;=$D101,AT$6&lt;=$E101),1,IF(AND($F101&gt;0,AT$6=$F101),"◆",""))</f>
        <v/>
      </c>
      <c r="AU101" s="78" t="str">
        <f>IF(AND($D101&gt;0,AU$6&gt;=$D101,AU$6&lt;=$E101),1,IF(AND($F101&gt;0,AU$6=$F101),"◆",""))</f>
        <v/>
      </c>
      <c r="AV101" s="78" t="str">
        <f>IF(AND($D101&gt;0,AV$6&gt;=$D101,AV$6&lt;=$E101),1,IF(AND($F101&gt;0,AV$6=$F101),"◆",""))</f>
        <v/>
      </c>
      <c r="AW101" s="78" t="str">
        <f>IF(AND($D101&gt;0,AW$6&gt;=$D101,AW$6&lt;=$E101),1,IF(AND($F101&gt;0,AW$6=$F101),"◆",""))</f>
        <v/>
      </c>
      <c r="AX101" s="78" t="str">
        <f>IF(AND($D101&gt;0,AX$6&gt;=$D101,AX$6&lt;=$E101),1,IF(AND($F101&gt;0,AX$6=$F101),"◆",""))</f>
        <v/>
      </c>
      <c r="AY101" s="78" t="str">
        <f>IF(AND($D101&gt;0,AY$6&gt;=$D101,AY$6&lt;=$E101),1,IF(AND($F101&gt;0,AY$6=$F101),"◆",""))</f>
        <v/>
      </c>
      <c r="AZ101" s="78" t="str">
        <f>IF(AND($D101&gt;0,AZ$6&gt;=$D101,AZ$6&lt;=$E101),1,IF(AND($F101&gt;0,AZ$6=$F101),"◆",""))</f>
        <v/>
      </c>
      <c r="BA101" s="78" t="str">
        <f>IF(AND($D101&gt;0,BA$6&gt;=$D101,BA$6&lt;=$E101),1,IF(AND($F101&gt;0,BA$6=$F101),"◆",""))</f>
        <v/>
      </c>
      <c r="BB101" s="78" t="str">
        <f>IF(AND($D101&gt;0,BB$6&gt;=$D101,BB$6&lt;=$E101),1,IF(AND($F101&gt;0,BB$6=$F101),"◆",""))</f>
        <v/>
      </c>
      <c r="BC101" s="78" t="str">
        <f>IF(AND($D101&gt;0,BC$6&gt;=$D101,BC$6&lt;=$E101),1,IF(AND($F101&gt;0,BC$6=$F101),"◆",""))</f>
        <v/>
      </c>
      <c r="BD101" s="78" t="str">
        <f>IF(AND($D101&gt;0,BD$6&gt;=$D101,BD$6&lt;=$E101),1,IF(AND($F101&gt;0,BD$6=$F101),"◆",""))</f>
        <v/>
      </c>
      <c r="BE101" s="78" t="str">
        <f>IF(AND($D101&gt;0,BE$6&gt;=$D101,BE$6&lt;=$E101),1,IF(AND($F101&gt;0,BE$6=$F101),"◆",""))</f>
        <v/>
      </c>
      <c r="BF101" s="78" t="str">
        <f>IF(AND($D101&gt;0,BF$6&gt;=$D101,BF$6&lt;=$E101),1,IF(AND($F101&gt;0,BF$6=$F101),"◆",""))</f>
        <v/>
      </c>
      <c r="BG101" s="78" t="str">
        <f>IF(AND($D101&gt;0,BG$6&gt;=$D101,BG$6&lt;=$E101),1,IF(AND($F101&gt;0,BG$6=$F101),"◆",""))</f>
        <v/>
      </c>
      <c r="BH101" s="78" t="str">
        <f>IF(AND($D101&gt;0,BH$6&gt;=$D101,BH$6&lt;=$E101),1,IF(AND($F101&gt;0,BH$6=$F101),"◆",""))</f>
        <v/>
      </c>
      <c r="BI101" s="78" t="str">
        <f>IF(AND($D101&gt;0,BI$6&gt;=$D101,BI$6&lt;=$E101),1,IF(AND($F101&gt;0,BI$6=$F101),"◆",""))</f>
        <v/>
      </c>
      <c r="BJ101" s="78" t="str">
        <f>IF(AND($D101&gt;0,BJ$6&gt;=$D101,BJ$6&lt;=$E101),1,IF(AND($F101&gt;0,BJ$6=$F101),"◆",""))</f>
        <v/>
      </c>
      <c r="BK101" s="78" t="str">
        <f>IF(AND($D101&gt;0,BK$6&gt;=$D101,BK$6&lt;=$E101),1,IF(AND($F101&gt;0,BK$6=$F101),"◆",""))</f>
        <v/>
      </c>
      <c r="BL101" s="78" t="str">
        <f>IF(AND($D101&gt;0,BL$6&gt;=$D101,BL$6&lt;=$E101),1,IF(AND($F101&gt;0,BL$6=$F101),"◆",""))</f>
        <v/>
      </c>
      <c r="BM101" s="78" t="str">
        <f>IF(AND($D101&gt;0,BM$6&gt;=$D101,BM$6&lt;=$E101),1,IF(AND($F101&gt;0,BM$6=$F101),"◆",""))</f>
        <v/>
      </c>
      <c r="BN101" s="78" t="str">
        <f>IF(AND($D101&gt;0,BN$6&gt;=$D101,BN$6&lt;=$E101),1,IF(AND($F101&gt;0,BN$6=$F101),"◆",""))</f>
        <v/>
      </c>
      <c r="BO101" s="78" t="str">
        <f>IF(AND($D101&gt;0,BO$6&gt;=$D101,BO$6&lt;=$E101),1,IF(AND($F101&gt;0,BO$6=$F101),"◆",""))</f>
        <v/>
      </c>
      <c r="BP101" s="78" t="str">
        <f>IF(AND($D101&gt;0,BP$6&gt;=$D101,BP$6&lt;=$E101),1,IF(AND($F101&gt;0,BP$6=$F101),"◆",""))</f>
        <v/>
      </c>
    </row>
    <row r="102">
      <c r="A102" s="75" t="str">
        <f>IF(INDEX(of_ref,96)="","",INDEX(of_num,96)&amp;"")</f>
        <v/>
      </c>
      <c r="B102" s="75" t="str">
        <f>IF(INDEX(of_ref,96)="","",INDEX(of_des,96)&amp;"")</f>
        <v/>
      </c>
      <c r="C102" s="76" t="str">
        <f>IF(INDEX(of_ref,96)="","",INDEX(of_poste,96)&amp;"")</f>
        <v/>
      </c>
      <c r="D102" s="77">
        <f>INDEX(of_start,96)</f>
        <v>0.0</v>
      </c>
      <c r="E102" s="77">
        <f>INDEX(of_end,96)</f>
        <v>0.0</v>
      </c>
      <c r="F102" s="77">
        <f>IF(N(INDEX(of_need,96))=0,0,INDEX(of_need,96))</f>
        <v>0.0</v>
      </c>
      <c r="G102" s="76" t="str">
        <f>IF(INDEX(of_ref,96)="","",INDEX(of_etat,96)&amp;"")</f>
        <v/>
      </c>
      <c r="I102" s="78" t="str">
        <f>IF(AND($D102&gt;0,I$6&gt;=$D102,I$6&lt;=$E102),1,IF(AND($F102&gt;0,I$6=$F102),"◆",""))</f>
        <v/>
      </c>
      <c r="J102" s="78" t="str">
        <f>IF(AND($D102&gt;0,J$6&gt;=$D102,J$6&lt;=$E102),1,IF(AND($F102&gt;0,J$6=$F102),"◆",""))</f>
        <v/>
      </c>
      <c r="K102" s="78" t="str">
        <f>IF(AND($D102&gt;0,K$6&gt;=$D102,K$6&lt;=$E102),1,IF(AND($F102&gt;0,K$6=$F102),"◆",""))</f>
        <v/>
      </c>
      <c r="L102" s="78" t="str">
        <f>IF(AND($D102&gt;0,L$6&gt;=$D102,L$6&lt;=$E102),1,IF(AND($F102&gt;0,L$6=$F102),"◆",""))</f>
        <v/>
      </c>
      <c r="M102" s="78" t="str">
        <f>IF(AND($D102&gt;0,M$6&gt;=$D102,M$6&lt;=$E102),1,IF(AND($F102&gt;0,M$6=$F102),"◆",""))</f>
        <v/>
      </c>
      <c r="N102" s="78" t="str">
        <f>IF(AND($D102&gt;0,N$6&gt;=$D102,N$6&lt;=$E102),1,IF(AND($F102&gt;0,N$6=$F102),"◆",""))</f>
        <v/>
      </c>
      <c r="O102" s="78" t="str">
        <f>IF(AND($D102&gt;0,O$6&gt;=$D102,O$6&lt;=$E102),1,IF(AND($F102&gt;0,O$6=$F102),"◆",""))</f>
        <v/>
      </c>
      <c r="P102" s="78" t="str">
        <f>IF(AND($D102&gt;0,P$6&gt;=$D102,P$6&lt;=$E102),1,IF(AND($F102&gt;0,P$6=$F102),"◆",""))</f>
        <v/>
      </c>
      <c r="Q102" s="78" t="str">
        <f>IF(AND($D102&gt;0,Q$6&gt;=$D102,Q$6&lt;=$E102),1,IF(AND($F102&gt;0,Q$6=$F102),"◆",""))</f>
        <v/>
      </c>
      <c r="R102" s="78" t="str">
        <f>IF(AND($D102&gt;0,R$6&gt;=$D102,R$6&lt;=$E102),1,IF(AND($F102&gt;0,R$6=$F102),"◆",""))</f>
        <v/>
      </c>
      <c r="S102" s="78" t="str">
        <f>IF(AND($D102&gt;0,S$6&gt;=$D102,S$6&lt;=$E102),1,IF(AND($F102&gt;0,S$6=$F102),"◆",""))</f>
        <v/>
      </c>
      <c r="T102" s="78" t="str">
        <f>IF(AND($D102&gt;0,T$6&gt;=$D102,T$6&lt;=$E102),1,IF(AND($F102&gt;0,T$6=$F102),"◆",""))</f>
        <v/>
      </c>
      <c r="U102" s="78" t="str">
        <f>IF(AND($D102&gt;0,U$6&gt;=$D102,U$6&lt;=$E102),1,IF(AND($F102&gt;0,U$6=$F102),"◆",""))</f>
        <v/>
      </c>
      <c r="V102" s="78" t="str">
        <f>IF(AND($D102&gt;0,V$6&gt;=$D102,V$6&lt;=$E102),1,IF(AND($F102&gt;0,V$6=$F102),"◆",""))</f>
        <v/>
      </c>
      <c r="W102" s="78" t="str">
        <f>IF(AND($D102&gt;0,W$6&gt;=$D102,W$6&lt;=$E102),1,IF(AND($F102&gt;0,W$6=$F102),"◆",""))</f>
        <v/>
      </c>
      <c r="X102" s="78" t="str">
        <f>IF(AND($D102&gt;0,X$6&gt;=$D102,X$6&lt;=$E102),1,IF(AND($F102&gt;0,X$6=$F102),"◆",""))</f>
        <v/>
      </c>
      <c r="Y102" s="78" t="str">
        <f>IF(AND($D102&gt;0,Y$6&gt;=$D102,Y$6&lt;=$E102),1,IF(AND($F102&gt;0,Y$6=$F102),"◆",""))</f>
        <v/>
      </c>
      <c r="Z102" s="78" t="str">
        <f>IF(AND($D102&gt;0,Z$6&gt;=$D102,Z$6&lt;=$E102),1,IF(AND($F102&gt;0,Z$6=$F102),"◆",""))</f>
        <v/>
      </c>
      <c r="AA102" s="78" t="str">
        <f>IF(AND($D102&gt;0,AA$6&gt;=$D102,AA$6&lt;=$E102),1,IF(AND($F102&gt;0,AA$6=$F102),"◆",""))</f>
        <v/>
      </c>
      <c r="AB102" s="78" t="str">
        <f>IF(AND($D102&gt;0,AB$6&gt;=$D102,AB$6&lt;=$E102),1,IF(AND($F102&gt;0,AB$6=$F102),"◆",""))</f>
        <v/>
      </c>
      <c r="AC102" s="78" t="str">
        <f>IF(AND($D102&gt;0,AC$6&gt;=$D102,AC$6&lt;=$E102),1,IF(AND($F102&gt;0,AC$6=$F102),"◆",""))</f>
        <v/>
      </c>
      <c r="AD102" s="78" t="str">
        <f>IF(AND($D102&gt;0,AD$6&gt;=$D102,AD$6&lt;=$E102),1,IF(AND($F102&gt;0,AD$6=$F102),"◆",""))</f>
        <v/>
      </c>
      <c r="AE102" s="78" t="str">
        <f>IF(AND($D102&gt;0,AE$6&gt;=$D102,AE$6&lt;=$E102),1,IF(AND($F102&gt;0,AE$6=$F102),"◆",""))</f>
        <v/>
      </c>
      <c r="AF102" s="78" t="str">
        <f>IF(AND($D102&gt;0,AF$6&gt;=$D102,AF$6&lt;=$E102),1,IF(AND($F102&gt;0,AF$6=$F102),"◆",""))</f>
        <v/>
      </c>
      <c r="AG102" s="78" t="str">
        <f>IF(AND($D102&gt;0,AG$6&gt;=$D102,AG$6&lt;=$E102),1,IF(AND($F102&gt;0,AG$6=$F102),"◆",""))</f>
        <v/>
      </c>
      <c r="AH102" s="78" t="str">
        <f>IF(AND($D102&gt;0,AH$6&gt;=$D102,AH$6&lt;=$E102),1,IF(AND($F102&gt;0,AH$6=$F102),"◆",""))</f>
        <v/>
      </c>
      <c r="AI102" s="78" t="str">
        <f>IF(AND($D102&gt;0,AI$6&gt;=$D102,AI$6&lt;=$E102),1,IF(AND($F102&gt;0,AI$6=$F102),"◆",""))</f>
        <v/>
      </c>
      <c r="AJ102" s="78" t="str">
        <f>IF(AND($D102&gt;0,AJ$6&gt;=$D102,AJ$6&lt;=$E102),1,IF(AND($F102&gt;0,AJ$6=$F102),"◆",""))</f>
        <v/>
      </c>
      <c r="AK102" s="78" t="str">
        <f>IF(AND($D102&gt;0,AK$6&gt;=$D102,AK$6&lt;=$E102),1,IF(AND($F102&gt;0,AK$6=$F102),"◆",""))</f>
        <v/>
      </c>
      <c r="AL102" s="78" t="str">
        <f>IF(AND($D102&gt;0,AL$6&gt;=$D102,AL$6&lt;=$E102),1,IF(AND($F102&gt;0,AL$6=$F102),"◆",""))</f>
        <v/>
      </c>
      <c r="AM102" s="78" t="str">
        <f>IF(AND($D102&gt;0,AM$6&gt;=$D102,AM$6&lt;=$E102),1,IF(AND($F102&gt;0,AM$6=$F102),"◆",""))</f>
        <v/>
      </c>
      <c r="AN102" s="78" t="str">
        <f>IF(AND($D102&gt;0,AN$6&gt;=$D102,AN$6&lt;=$E102),1,IF(AND($F102&gt;0,AN$6=$F102),"◆",""))</f>
        <v/>
      </c>
      <c r="AO102" s="78" t="str">
        <f>IF(AND($D102&gt;0,AO$6&gt;=$D102,AO$6&lt;=$E102),1,IF(AND($F102&gt;0,AO$6=$F102),"◆",""))</f>
        <v/>
      </c>
      <c r="AP102" s="78" t="str">
        <f>IF(AND($D102&gt;0,AP$6&gt;=$D102,AP$6&lt;=$E102),1,IF(AND($F102&gt;0,AP$6=$F102),"◆",""))</f>
        <v/>
      </c>
      <c r="AQ102" s="78" t="str">
        <f>IF(AND($D102&gt;0,AQ$6&gt;=$D102,AQ$6&lt;=$E102),1,IF(AND($F102&gt;0,AQ$6=$F102),"◆",""))</f>
        <v/>
      </c>
      <c r="AR102" s="78" t="str">
        <f>IF(AND($D102&gt;0,AR$6&gt;=$D102,AR$6&lt;=$E102),1,IF(AND($F102&gt;0,AR$6=$F102),"◆",""))</f>
        <v/>
      </c>
      <c r="AS102" s="78" t="str">
        <f>IF(AND($D102&gt;0,AS$6&gt;=$D102,AS$6&lt;=$E102),1,IF(AND($F102&gt;0,AS$6=$F102),"◆",""))</f>
        <v/>
      </c>
      <c r="AT102" s="78" t="str">
        <f>IF(AND($D102&gt;0,AT$6&gt;=$D102,AT$6&lt;=$E102),1,IF(AND($F102&gt;0,AT$6=$F102),"◆",""))</f>
        <v/>
      </c>
      <c r="AU102" s="78" t="str">
        <f>IF(AND($D102&gt;0,AU$6&gt;=$D102,AU$6&lt;=$E102),1,IF(AND($F102&gt;0,AU$6=$F102),"◆",""))</f>
        <v/>
      </c>
      <c r="AV102" s="78" t="str">
        <f>IF(AND($D102&gt;0,AV$6&gt;=$D102,AV$6&lt;=$E102),1,IF(AND($F102&gt;0,AV$6=$F102),"◆",""))</f>
        <v/>
      </c>
      <c r="AW102" s="78" t="str">
        <f>IF(AND($D102&gt;0,AW$6&gt;=$D102,AW$6&lt;=$E102),1,IF(AND($F102&gt;0,AW$6=$F102),"◆",""))</f>
        <v/>
      </c>
      <c r="AX102" s="78" t="str">
        <f>IF(AND($D102&gt;0,AX$6&gt;=$D102,AX$6&lt;=$E102),1,IF(AND($F102&gt;0,AX$6=$F102),"◆",""))</f>
        <v/>
      </c>
      <c r="AY102" s="78" t="str">
        <f>IF(AND($D102&gt;0,AY$6&gt;=$D102,AY$6&lt;=$E102),1,IF(AND($F102&gt;0,AY$6=$F102),"◆",""))</f>
        <v/>
      </c>
      <c r="AZ102" s="78" t="str">
        <f>IF(AND($D102&gt;0,AZ$6&gt;=$D102,AZ$6&lt;=$E102),1,IF(AND($F102&gt;0,AZ$6=$F102),"◆",""))</f>
        <v/>
      </c>
      <c r="BA102" s="78" t="str">
        <f>IF(AND($D102&gt;0,BA$6&gt;=$D102,BA$6&lt;=$E102),1,IF(AND($F102&gt;0,BA$6=$F102),"◆",""))</f>
        <v/>
      </c>
      <c r="BB102" s="78" t="str">
        <f>IF(AND($D102&gt;0,BB$6&gt;=$D102,BB$6&lt;=$E102),1,IF(AND($F102&gt;0,BB$6=$F102),"◆",""))</f>
        <v/>
      </c>
      <c r="BC102" s="78" t="str">
        <f>IF(AND($D102&gt;0,BC$6&gt;=$D102,BC$6&lt;=$E102),1,IF(AND($F102&gt;0,BC$6=$F102),"◆",""))</f>
        <v/>
      </c>
      <c r="BD102" s="78" t="str">
        <f>IF(AND($D102&gt;0,BD$6&gt;=$D102,BD$6&lt;=$E102),1,IF(AND($F102&gt;0,BD$6=$F102),"◆",""))</f>
        <v/>
      </c>
      <c r="BE102" s="78" t="str">
        <f>IF(AND($D102&gt;0,BE$6&gt;=$D102,BE$6&lt;=$E102),1,IF(AND($F102&gt;0,BE$6=$F102),"◆",""))</f>
        <v/>
      </c>
      <c r="BF102" s="78" t="str">
        <f>IF(AND($D102&gt;0,BF$6&gt;=$D102,BF$6&lt;=$E102),1,IF(AND($F102&gt;0,BF$6=$F102),"◆",""))</f>
        <v/>
      </c>
      <c r="BG102" s="78" t="str">
        <f>IF(AND($D102&gt;0,BG$6&gt;=$D102,BG$6&lt;=$E102),1,IF(AND($F102&gt;0,BG$6=$F102),"◆",""))</f>
        <v/>
      </c>
      <c r="BH102" s="78" t="str">
        <f>IF(AND($D102&gt;0,BH$6&gt;=$D102,BH$6&lt;=$E102),1,IF(AND($F102&gt;0,BH$6=$F102),"◆",""))</f>
        <v/>
      </c>
      <c r="BI102" s="78" t="str">
        <f>IF(AND($D102&gt;0,BI$6&gt;=$D102,BI$6&lt;=$E102),1,IF(AND($F102&gt;0,BI$6=$F102),"◆",""))</f>
        <v/>
      </c>
      <c r="BJ102" s="78" t="str">
        <f>IF(AND($D102&gt;0,BJ$6&gt;=$D102,BJ$6&lt;=$E102),1,IF(AND($F102&gt;0,BJ$6=$F102),"◆",""))</f>
        <v/>
      </c>
      <c r="BK102" s="78" t="str">
        <f>IF(AND($D102&gt;0,BK$6&gt;=$D102,BK$6&lt;=$E102),1,IF(AND($F102&gt;0,BK$6=$F102),"◆",""))</f>
        <v/>
      </c>
      <c r="BL102" s="78" t="str">
        <f>IF(AND($D102&gt;0,BL$6&gt;=$D102,BL$6&lt;=$E102),1,IF(AND($F102&gt;0,BL$6=$F102),"◆",""))</f>
        <v/>
      </c>
      <c r="BM102" s="78" t="str">
        <f>IF(AND($D102&gt;0,BM$6&gt;=$D102,BM$6&lt;=$E102),1,IF(AND($F102&gt;0,BM$6=$F102),"◆",""))</f>
        <v/>
      </c>
      <c r="BN102" s="78" t="str">
        <f>IF(AND($D102&gt;0,BN$6&gt;=$D102,BN$6&lt;=$E102),1,IF(AND($F102&gt;0,BN$6=$F102),"◆",""))</f>
        <v/>
      </c>
      <c r="BO102" s="78" t="str">
        <f>IF(AND($D102&gt;0,BO$6&gt;=$D102,BO$6&lt;=$E102),1,IF(AND($F102&gt;0,BO$6=$F102),"◆",""))</f>
        <v/>
      </c>
      <c r="BP102" s="78" t="str">
        <f>IF(AND($D102&gt;0,BP$6&gt;=$D102,BP$6&lt;=$E102),1,IF(AND($F102&gt;0,BP$6=$F102),"◆",""))</f>
        <v/>
      </c>
    </row>
    <row r="103">
      <c r="A103" s="75" t="str">
        <f>IF(INDEX(of_ref,97)="","",INDEX(of_num,97)&amp;"")</f>
        <v/>
      </c>
      <c r="B103" s="75" t="str">
        <f>IF(INDEX(of_ref,97)="","",INDEX(of_des,97)&amp;"")</f>
        <v/>
      </c>
      <c r="C103" s="76" t="str">
        <f>IF(INDEX(of_ref,97)="","",INDEX(of_poste,97)&amp;"")</f>
        <v/>
      </c>
      <c r="D103" s="77">
        <f>INDEX(of_start,97)</f>
        <v>0.0</v>
      </c>
      <c r="E103" s="77">
        <f>INDEX(of_end,97)</f>
        <v>0.0</v>
      </c>
      <c r="F103" s="77">
        <f>IF(N(INDEX(of_need,97))=0,0,INDEX(of_need,97))</f>
        <v>0.0</v>
      </c>
      <c r="G103" s="76" t="str">
        <f>IF(INDEX(of_ref,97)="","",INDEX(of_etat,97)&amp;"")</f>
        <v/>
      </c>
      <c r="I103" s="78" t="str">
        <f>IF(AND($D103&gt;0,I$6&gt;=$D103,I$6&lt;=$E103),1,IF(AND($F103&gt;0,I$6=$F103),"◆",""))</f>
        <v/>
      </c>
      <c r="J103" s="78" t="str">
        <f>IF(AND($D103&gt;0,J$6&gt;=$D103,J$6&lt;=$E103),1,IF(AND($F103&gt;0,J$6=$F103),"◆",""))</f>
        <v/>
      </c>
      <c r="K103" s="78" t="str">
        <f>IF(AND($D103&gt;0,K$6&gt;=$D103,K$6&lt;=$E103),1,IF(AND($F103&gt;0,K$6=$F103),"◆",""))</f>
        <v/>
      </c>
      <c r="L103" s="78" t="str">
        <f>IF(AND($D103&gt;0,L$6&gt;=$D103,L$6&lt;=$E103),1,IF(AND($F103&gt;0,L$6=$F103),"◆",""))</f>
        <v/>
      </c>
      <c r="M103" s="78" t="str">
        <f>IF(AND($D103&gt;0,M$6&gt;=$D103,M$6&lt;=$E103),1,IF(AND($F103&gt;0,M$6=$F103),"◆",""))</f>
        <v/>
      </c>
      <c r="N103" s="78" t="str">
        <f>IF(AND($D103&gt;0,N$6&gt;=$D103,N$6&lt;=$E103),1,IF(AND($F103&gt;0,N$6=$F103),"◆",""))</f>
        <v/>
      </c>
      <c r="O103" s="78" t="str">
        <f>IF(AND($D103&gt;0,O$6&gt;=$D103,O$6&lt;=$E103),1,IF(AND($F103&gt;0,O$6=$F103),"◆",""))</f>
        <v/>
      </c>
      <c r="P103" s="78" t="str">
        <f>IF(AND($D103&gt;0,P$6&gt;=$D103,P$6&lt;=$E103),1,IF(AND($F103&gt;0,P$6=$F103),"◆",""))</f>
        <v/>
      </c>
      <c r="Q103" s="78" t="str">
        <f>IF(AND($D103&gt;0,Q$6&gt;=$D103,Q$6&lt;=$E103),1,IF(AND($F103&gt;0,Q$6=$F103),"◆",""))</f>
        <v/>
      </c>
      <c r="R103" s="78" t="str">
        <f>IF(AND($D103&gt;0,R$6&gt;=$D103,R$6&lt;=$E103),1,IF(AND($F103&gt;0,R$6=$F103),"◆",""))</f>
        <v/>
      </c>
      <c r="S103" s="78" t="str">
        <f>IF(AND($D103&gt;0,S$6&gt;=$D103,S$6&lt;=$E103),1,IF(AND($F103&gt;0,S$6=$F103),"◆",""))</f>
        <v/>
      </c>
      <c r="T103" s="78" t="str">
        <f>IF(AND($D103&gt;0,T$6&gt;=$D103,T$6&lt;=$E103),1,IF(AND($F103&gt;0,T$6=$F103),"◆",""))</f>
        <v/>
      </c>
      <c r="U103" s="78" t="str">
        <f>IF(AND($D103&gt;0,U$6&gt;=$D103,U$6&lt;=$E103),1,IF(AND($F103&gt;0,U$6=$F103),"◆",""))</f>
        <v/>
      </c>
      <c r="V103" s="78" t="str">
        <f>IF(AND($D103&gt;0,V$6&gt;=$D103,V$6&lt;=$E103),1,IF(AND($F103&gt;0,V$6=$F103),"◆",""))</f>
        <v/>
      </c>
      <c r="W103" s="78" t="str">
        <f>IF(AND($D103&gt;0,W$6&gt;=$D103,W$6&lt;=$E103),1,IF(AND($F103&gt;0,W$6=$F103),"◆",""))</f>
        <v/>
      </c>
      <c r="X103" s="78" t="str">
        <f>IF(AND($D103&gt;0,X$6&gt;=$D103,X$6&lt;=$E103),1,IF(AND($F103&gt;0,X$6=$F103),"◆",""))</f>
        <v/>
      </c>
      <c r="Y103" s="78" t="str">
        <f>IF(AND($D103&gt;0,Y$6&gt;=$D103,Y$6&lt;=$E103),1,IF(AND($F103&gt;0,Y$6=$F103),"◆",""))</f>
        <v/>
      </c>
      <c r="Z103" s="78" t="str">
        <f>IF(AND($D103&gt;0,Z$6&gt;=$D103,Z$6&lt;=$E103),1,IF(AND($F103&gt;0,Z$6=$F103),"◆",""))</f>
        <v/>
      </c>
      <c r="AA103" s="78" t="str">
        <f>IF(AND($D103&gt;0,AA$6&gt;=$D103,AA$6&lt;=$E103),1,IF(AND($F103&gt;0,AA$6=$F103),"◆",""))</f>
        <v/>
      </c>
      <c r="AB103" s="78" t="str">
        <f>IF(AND($D103&gt;0,AB$6&gt;=$D103,AB$6&lt;=$E103),1,IF(AND($F103&gt;0,AB$6=$F103),"◆",""))</f>
        <v/>
      </c>
      <c r="AC103" s="78" t="str">
        <f>IF(AND($D103&gt;0,AC$6&gt;=$D103,AC$6&lt;=$E103),1,IF(AND($F103&gt;0,AC$6=$F103),"◆",""))</f>
        <v/>
      </c>
      <c r="AD103" s="78" t="str">
        <f>IF(AND($D103&gt;0,AD$6&gt;=$D103,AD$6&lt;=$E103),1,IF(AND($F103&gt;0,AD$6=$F103),"◆",""))</f>
        <v/>
      </c>
      <c r="AE103" s="78" t="str">
        <f>IF(AND($D103&gt;0,AE$6&gt;=$D103,AE$6&lt;=$E103),1,IF(AND($F103&gt;0,AE$6=$F103),"◆",""))</f>
        <v/>
      </c>
      <c r="AF103" s="78" t="str">
        <f>IF(AND($D103&gt;0,AF$6&gt;=$D103,AF$6&lt;=$E103),1,IF(AND($F103&gt;0,AF$6=$F103),"◆",""))</f>
        <v/>
      </c>
      <c r="AG103" s="78" t="str">
        <f>IF(AND($D103&gt;0,AG$6&gt;=$D103,AG$6&lt;=$E103),1,IF(AND($F103&gt;0,AG$6=$F103),"◆",""))</f>
        <v/>
      </c>
      <c r="AH103" s="78" t="str">
        <f>IF(AND($D103&gt;0,AH$6&gt;=$D103,AH$6&lt;=$E103),1,IF(AND($F103&gt;0,AH$6=$F103),"◆",""))</f>
        <v/>
      </c>
      <c r="AI103" s="78" t="str">
        <f>IF(AND($D103&gt;0,AI$6&gt;=$D103,AI$6&lt;=$E103),1,IF(AND($F103&gt;0,AI$6=$F103),"◆",""))</f>
        <v/>
      </c>
      <c r="AJ103" s="78" t="str">
        <f>IF(AND($D103&gt;0,AJ$6&gt;=$D103,AJ$6&lt;=$E103),1,IF(AND($F103&gt;0,AJ$6=$F103),"◆",""))</f>
        <v/>
      </c>
      <c r="AK103" s="78" t="str">
        <f>IF(AND($D103&gt;0,AK$6&gt;=$D103,AK$6&lt;=$E103),1,IF(AND($F103&gt;0,AK$6=$F103),"◆",""))</f>
        <v/>
      </c>
      <c r="AL103" s="78" t="str">
        <f>IF(AND($D103&gt;0,AL$6&gt;=$D103,AL$6&lt;=$E103),1,IF(AND($F103&gt;0,AL$6=$F103),"◆",""))</f>
        <v/>
      </c>
      <c r="AM103" s="78" t="str">
        <f>IF(AND($D103&gt;0,AM$6&gt;=$D103,AM$6&lt;=$E103),1,IF(AND($F103&gt;0,AM$6=$F103),"◆",""))</f>
        <v/>
      </c>
      <c r="AN103" s="78" t="str">
        <f>IF(AND($D103&gt;0,AN$6&gt;=$D103,AN$6&lt;=$E103),1,IF(AND($F103&gt;0,AN$6=$F103),"◆",""))</f>
        <v/>
      </c>
      <c r="AO103" s="78" t="str">
        <f>IF(AND($D103&gt;0,AO$6&gt;=$D103,AO$6&lt;=$E103),1,IF(AND($F103&gt;0,AO$6=$F103),"◆",""))</f>
        <v/>
      </c>
      <c r="AP103" s="78" t="str">
        <f>IF(AND($D103&gt;0,AP$6&gt;=$D103,AP$6&lt;=$E103),1,IF(AND($F103&gt;0,AP$6=$F103),"◆",""))</f>
        <v/>
      </c>
      <c r="AQ103" s="78" t="str">
        <f>IF(AND($D103&gt;0,AQ$6&gt;=$D103,AQ$6&lt;=$E103),1,IF(AND($F103&gt;0,AQ$6=$F103),"◆",""))</f>
        <v/>
      </c>
      <c r="AR103" s="78" t="str">
        <f>IF(AND($D103&gt;0,AR$6&gt;=$D103,AR$6&lt;=$E103),1,IF(AND($F103&gt;0,AR$6=$F103),"◆",""))</f>
        <v/>
      </c>
      <c r="AS103" s="78" t="str">
        <f>IF(AND($D103&gt;0,AS$6&gt;=$D103,AS$6&lt;=$E103),1,IF(AND($F103&gt;0,AS$6=$F103),"◆",""))</f>
        <v/>
      </c>
      <c r="AT103" s="78" t="str">
        <f>IF(AND($D103&gt;0,AT$6&gt;=$D103,AT$6&lt;=$E103),1,IF(AND($F103&gt;0,AT$6=$F103),"◆",""))</f>
        <v/>
      </c>
      <c r="AU103" s="78" t="str">
        <f>IF(AND($D103&gt;0,AU$6&gt;=$D103,AU$6&lt;=$E103),1,IF(AND($F103&gt;0,AU$6=$F103),"◆",""))</f>
        <v/>
      </c>
      <c r="AV103" s="78" t="str">
        <f>IF(AND($D103&gt;0,AV$6&gt;=$D103,AV$6&lt;=$E103),1,IF(AND($F103&gt;0,AV$6=$F103),"◆",""))</f>
        <v/>
      </c>
      <c r="AW103" s="78" t="str">
        <f>IF(AND($D103&gt;0,AW$6&gt;=$D103,AW$6&lt;=$E103),1,IF(AND($F103&gt;0,AW$6=$F103),"◆",""))</f>
        <v/>
      </c>
      <c r="AX103" s="78" t="str">
        <f>IF(AND($D103&gt;0,AX$6&gt;=$D103,AX$6&lt;=$E103),1,IF(AND($F103&gt;0,AX$6=$F103),"◆",""))</f>
        <v/>
      </c>
      <c r="AY103" s="78" t="str">
        <f>IF(AND($D103&gt;0,AY$6&gt;=$D103,AY$6&lt;=$E103),1,IF(AND($F103&gt;0,AY$6=$F103),"◆",""))</f>
        <v/>
      </c>
      <c r="AZ103" s="78" t="str">
        <f>IF(AND($D103&gt;0,AZ$6&gt;=$D103,AZ$6&lt;=$E103),1,IF(AND($F103&gt;0,AZ$6=$F103),"◆",""))</f>
        <v/>
      </c>
      <c r="BA103" s="78" t="str">
        <f>IF(AND($D103&gt;0,BA$6&gt;=$D103,BA$6&lt;=$E103),1,IF(AND($F103&gt;0,BA$6=$F103),"◆",""))</f>
        <v/>
      </c>
      <c r="BB103" s="78" t="str">
        <f>IF(AND($D103&gt;0,BB$6&gt;=$D103,BB$6&lt;=$E103),1,IF(AND($F103&gt;0,BB$6=$F103),"◆",""))</f>
        <v/>
      </c>
      <c r="BC103" s="78" t="str">
        <f>IF(AND($D103&gt;0,BC$6&gt;=$D103,BC$6&lt;=$E103),1,IF(AND($F103&gt;0,BC$6=$F103),"◆",""))</f>
        <v/>
      </c>
      <c r="BD103" s="78" t="str">
        <f>IF(AND($D103&gt;0,BD$6&gt;=$D103,BD$6&lt;=$E103),1,IF(AND($F103&gt;0,BD$6=$F103),"◆",""))</f>
        <v/>
      </c>
      <c r="BE103" s="78" t="str">
        <f>IF(AND($D103&gt;0,BE$6&gt;=$D103,BE$6&lt;=$E103),1,IF(AND($F103&gt;0,BE$6=$F103),"◆",""))</f>
        <v/>
      </c>
      <c r="BF103" s="78" t="str">
        <f>IF(AND($D103&gt;0,BF$6&gt;=$D103,BF$6&lt;=$E103),1,IF(AND($F103&gt;0,BF$6=$F103),"◆",""))</f>
        <v/>
      </c>
      <c r="BG103" s="78" t="str">
        <f>IF(AND($D103&gt;0,BG$6&gt;=$D103,BG$6&lt;=$E103),1,IF(AND($F103&gt;0,BG$6=$F103),"◆",""))</f>
        <v/>
      </c>
      <c r="BH103" s="78" t="str">
        <f>IF(AND($D103&gt;0,BH$6&gt;=$D103,BH$6&lt;=$E103),1,IF(AND($F103&gt;0,BH$6=$F103),"◆",""))</f>
        <v/>
      </c>
      <c r="BI103" s="78" t="str">
        <f>IF(AND($D103&gt;0,BI$6&gt;=$D103,BI$6&lt;=$E103),1,IF(AND($F103&gt;0,BI$6=$F103),"◆",""))</f>
        <v/>
      </c>
      <c r="BJ103" s="78" t="str">
        <f>IF(AND($D103&gt;0,BJ$6&gt;=$D103,BJ$6&lt;=$E103),1,IF(AND($F103&gt;0,BJ$6=$F103),"◆",""))</f>
        <v/>
      </c>
      <c r="BK103" s="78" t="str">
        <f>IF(AND($D103&gt;0,BK$6&gt;=$D103,BK$6&lt;=$E103),1,IF(AND($F103&gt;0,BK$6=$F103),"◆",""))</f>
        <v/>
      </c>
      <c r="BL103" s="78" t="str">
        <f>IF(AND($D103&gt;0,BL$6&gt;=$D103,BL$6&lt;=$E103),1,IF(AND($F103&gt;0,BL$6=$F103),"◆",""))</f>
        <v/>
      </c>
      <c r="BM103" s="78" t="str">
        <f>IF(AND($D103&gt;0,BM$6&gt;=$D103,BM$6&lt;=$E103),1,IF(AND($F103&gt;0,BM$6=$F103),"◆",""))</f>
        <v/>
      </c>
      <c r="BN103" s="78" t="str">
        <f>IF(AND($D103&gt;0,BN$6&gt;=$D103,BN$6&lt;=$E103),1,IF(AND($F103&gt;0,BN$6=$F103),"◆",""))</f>
        <v/>
      </c>
      <c r="BO103" s="78" t="str">
        <f>IF(AND($D103&gt;0,BO$6&gt;=$D103,BO$6&lt;=$E103),1,IF(AND($F103&gt;0,BO$6=$F103),"◆",""))</f>
        <v/>
      </c>
      <c r="BP103" s="78" t="str">
        <f>IF(AND($D103&gt;0,BP$6&gt;=$D103,BP$6&lt;=$E103),1,IF(AND($F103&gt;0,BP$6=$F103),"◆",""))</f>
        <v/>
      </c>
    </row>
    <row r="104">
      <c r="A104" s="75" t="str">
        <f>IF(INDEX(of_ref,98)="","",INDEX(of_num,98)&amp;"")</f>
        <v/>
      </c>
      <c r="B104" s="75" t="str">
        <f>IF(INDEX(of_ref,98)="","",INDEX(of_des,98)&amp;"")</f>
        <v/>
      </c>
      <c r="C104" s="76" t="str">
        <f>IF(INDEX(of_ref,98)="","",INDEX(of_poste,98)&amp;"")</f>
        <v/>
      </c>
      <c r="D104" s="77">
        <f>INDEX(of_start,98)</f>
        <v>0.0</v>
      </c>
      <c r="E104" s="77">
        <f>INDEX(of_end,98)</f>
        <v>0.0</v>
      </c>
      <c r="F104" s="77">
        <f>IF(N(INDEX(of_need,98))=0,0,INDEX(of_need,98))</f>
        <v>0.0</v>
      </c>
      <c r="G104" s="76" t="str">
        <f>IF(INDEX(of_ref,98)="","",INDEX(of_etat,98)&amp;"")</f>
        <v/>
      </c>
      <c r="I104" s="78" t="str">
        <f>IF(AND($D104&gt;0,I$6&gt;=$D104,I$6&lt;=$E104),1,IF(AND($F104&gt;0,I$6=$F104),"◆",""))</f>
        <v/>
      </c>
      <c r="J104" s="78" t="str">
        <f>IF(AND($D104&gt;0,J$6&gt;=$D104,J$6&lt;=$E104),1,IF(AND($F104&gt;0,J$6=$F104),"◆",""))</f>
        <v/>
      </c>
      <c r="K104" s="78" t="str">
        <f>IF(AND($D104&gt;0,K$6&gt;=$D104,K$6&lt;=$E104),1,IF(AND($F104&gt;0,K$6=$F104),"◆",""))</f>
        <v/>
      </c>
      <c r="L104" s="78" t="str">
        <f>IF(AND($D104&gt;0,L$6&gt;=$D104,L$6&lt;=$E104),1,IF(AND($F104&gt;0,L$6=$F104),"◆",""))</f>
        <v/>
      </c>
      <c r="M104" s="78" t="str">
        <f>IF(AND($D104&gt;0,M$6&gt;=$D104,M$6&lt;=$E104),1,IF(AND($F104&gt;0,M$6=$F104),"◆",""))</f>
        <v/>
      </c>
      <c r="N104" s="78" t="str">
        <f>IF(AND($D104&gt;0,N$6&gt;=$D104,N$6&lt;=$E104),1,IF(AND($F104&gt;0,N$6=$F104),"◆",""))</f>
        <v/>
      </c>
      <c r="O104" s="78" t="str">
        <f>IF(AND($D104&gt;0,O$6&gt;=$D104,O$6&lt;=$E104),1,IF(AND($F104&gt;0,O$6=$F104),"◆",""))</f>
        <v/>
      </c>
      <c r="P104" s="78" t="str">
        <f>IF(AND($D104&gt;0,P$6&gt;=$D104,P$6&lt;=$E104),1,IF(AND($F104&gt;0,P$6=$F104),"◆",""))</f>
        <v/>
      </c>
      <c r="Q104" s="78" t="str">
        <f>IF(AND($D104&gt;0,Q$6&gt;=$D104,Q$6&lt;=$E104),1,IF(AND($F104&gt;0,Q$6=$F104),"◆",""))</f>
        <v/>
      </c>
      <c r="R104" s="78" t="str">
        <f>IF(AND($D104&gt;0,R$6&gt;=$D104,R$6&lt;=$E104),1,IF(AND($F104&gt;0,R$6=$F104),"◆",""))</f>
        <v/>
      </c>
      <c r="S104" s="78" t="str">
        <f>IF(AND($D104&gt;0,S$6&gt;=$D104,S$6&lt;=$E104),1,IF(AND($F104&gt;0,S$6=$F104),"◆",""))</f>
        <v/>
      </c>
      <c r="T104" s="78" t="str">
        <f>IF(AND($D104&gt;0,T$6&gt;=$D104,T$6&lt;=$E104),1,IF(AND($F104&gt;0,T$6=$F104),"◆",""))</f>
        <v/>
      </c>
      <c r="U104" s="78" t="str">
        <f>IF(AND($D104&gt;0,U$6&gt;=$D104,U$6&lt;=$E104),1,IF(AND($F104&gt;0,U$6=$F104),"◆",""))</f>
        <v/>
      </c>
      <c r="V104" s="78" t="str">
        <f>IF(AND($D104&gt;0,V$6&gt;=$D104,V$6&lt;=$E104),1,IF(AND($F104&gt;0,V$6=$F104),"◆",""))</f>
        <v/>
      </c>
      <c r="W104" s="78" t="str">
        <f>IF(AND($D104&gt;0,W$6&gt;=$D104,W$6&lt;=$E104),1,IF(AND($F104&gt;0,W$6=$F104),"◆",""))</f>
        <v/>
      </c>
      <c r="X104" s="78" t="str">
        <f>IF(AND($D104&gt;0,X$6&gt;=$D104,X$6&lt;=$E104),1,IF(AND($F104&gt;0,X$6=$F104),"◆",""))</f>
        <v/>
      </c>
      <c r="Y104" s="78" t="str">
        <f>IF(AND($D104&gt;0,Y$6&gt;=$D104,Y$6&lt;=$E104),1,IF(AND($F104&gt;0,Y$6=$F104),"◆",""))</f>
        <v/>
      </c>
      <c r="Z104" s="78" t="str">
        <f>IF(AND($D104&gt;0,Z$6&gt;=$D104,Z$6&lt;=$E104),1,IF(AND($F104&gt;0,Z$6=$F104),"◆",""))</f>
        <v/>
      </c>
      <c r="AA104" s="78" t="str">
        <f>IF(AND($D104&gt;0,AA$6&gt;=$D104,AA$6&lt;=$E104),1,IF(AND($F104&gt;0,AA$6=$F104),"◆",""))</f>
        <v/>
      </c>
      <c r="AB104" s="78" t="str">
        <f>IF(AND($D104&gt;0,AB$6&gt;=$D104,AB$6&lt;=$E104),1,IF(AND($F104&gt;0,AB$6=$F104),"◆",""))</f>
        <v/>
      </c>
      <c r="AC104" s="78" t="str">
        <f>IF(AND($D104&gt;0,AC$6&gt;=$D104,AC$6&lt;=$E104),1,IF(AND($F104&gt;0,AC$6=$F104),"◆",""))</f>
        <v/>
      </c>
      <c r="AD104" s="78" t="str">
        <f>IF(AND($D104&gt;0,AD$6&gt;=$D104,AD$6&lt;=$E104),1,IF(AND($F104&gt;0,AD$6=$F104),"◆",""))</f>
        <v/>
      </c>
      <c r="AE104" s="78" t="str">
        <f>IF(AND($D104&gt;0,AE$6&gt;=$D104,AE$6&lt;=$E104),1,IF(AND($F104&gt;0,AE$6=$F104),"◆",""))</f>
        <v/>
      </c>
      <c r="AF104" s="78" t="str">
        <f>IF(AND($D104&gt;0,AF$6&gt;=$D104,AF$6&lt;=$E104),1,IF(AND($F104&gt;0,AF$6=$F104),"◆",""))</f>
        <v/>
      </c>
      <c r="AG104" s="78" t="str">
        <f>IF(AND($D104&gt;0,AG$6&gt;=$D104,AG$6&lt;=$E104),1,IF(AND($F104&gt;0,AG$6=$F104),"◆",""))</f>
        <v/>
      </c>
      <c r="AH104" s="78" t="str">
        <f>IF(AND($D104&gt;0,AH$6&gt;=$D104,AH$6&lt;=$E104),1,IF(AND($F104&gt;0,AH$6=$F104),"◆",""))</f>
        <v/>
      </c>
      <c r="AI104" s="78" t="str">
        <f>IF(AND($D104&gt;0,AI$6&gt;=$D104,AI$6&lt;=$E104),1,IF(AND($F104&gt;0,AI$6=$F104),"◆",""))</f>
        <v/>
      </c>
      <c r="AJ104" s="78" t="str">
        <f>IF(AND($D104&gt;0,AJ$6&gt;=$D104,AJ$6&lt;=$E104),1,IF(AND($F104&gt;0,AJ$6=$F104),"◆",""))</f>
        <v/>
      </c>
      <c r="AK104" s="78" t="str">
        <f>IF(AND($D104&gt;0,AK$6&gt;=$D104,AK$6&lt;=$E104),1,IF(AND($F104&gt;0,AK$6=$F104),"◆",""))</f>
        <v/>
      </c>
      <c r="AL104" s="78" t="str">
        <f>IF(AND($D104&gt;0,AL$6&gt;=$D104,AL$6&lt;=$E104),1,IF(AND($F104&gt;0,AL$6=$F104),"◆",""))</f>
        <v/>
      </c>
      <c r="AM104" s="78" t="str">
        <f>IF(AND($D104&gt;0,AM$6&gt;=$D104,AM$6&lt;=$E104),1,IF(AND($F104&gt;0,AM$6=$F104),"◆",""))</f>
        <v/>
      </c>
      <c r="AN104" s="78" t="str">
        <f>IF(AND($D104&gt;0,AN$6&gt;=$D104,AN$6&lt;=$E104),1,IF(AND($F104&gt;0,AN$6=$F104),"◆",""))</f>
        <v/>
      </c>
      <c r="AO104" s="78" t="str">
        <f>IF(AND($D104&gt;0,AO$6&gt;=$D104,AO$6&lt;=$E104),1,IF(AND($F104&gt;0,AO$6=$F104),"◆",""))</f>
        <v/>
      </c>
      <c r="AP104" s="78" t="str">
        <f>IF(AND($D104&gt;0,AP$6&gt;=$D104,AP$6&lt;=$E104),1,IF(AND($F104&gt;0,AP$6=$F104),"◆",""))</f>
        <v/>
      </c>
      <c r="AQ104" s="78" t="str">
        <f>IF(AND($D104&gt;0,AQ$6&gt;=$D104,AQ$6&lt;=$E104),1,IF(AND($F104&gt;0,AQ$6=$F104),"◆",""))</f>
        <v/>
      </c>
      <c r="AR104" s="78" t="str">
        <f>IF(AND($D104&gt;0,AR$6&gt;=$D104,AR$6&lt;=$E104),1,IF(AND($F104&gt;0,AR$6=$F104),"◆",""))</f>
        <v/>
      </c>
      <c r="AS104" s="78" t="str">
        <f>IF(AND($D104&gt;0,AS$6&gt;=$D104,AS$6&lt;=$E104),1,IF(AND($F104&gt;0,AS$6=$F104),"◆",""))</f>
        <v/>
      </c>
      <c r="AT104" s="78" t="str">
        <f>IF(AND($D104&gt;0,AT$6&gt;=$D104,AT$6&lt;=$E104),1,IF(AND($F104&gt;0,AT$6=$F104),"◆",""))</f>
        <v/>
      </c>
      <c r="AU104" s="78" t="str">
        <f>IF(AND($D104&gt;0,AU$6&gt;=$D104,AU$6&lt;=$E104),1,IF(AND($F104&gt;0,AU$6=$F104),"◆",""))</f>
        <v/>
      </c>
      <c r="AV104" s="78" t="str">
        <f>IF(AND($D104&gt;0,AV$6&gt;=$D104,AV$6&lt;=$E104),1,IF(AND($F104&gt;0,AV$6=$F104),"◆",""))</f>
        <v/>
      </c>
      <c r="AW104" s="78" t="str">
        <f>IF(AND($D104&gt;0,AW$6&gt;=$D104,AW$6&lt;=$E104),1,IF(AND($F104&gt;0,AW$6=$F104),"◆",""))</f>
        <v/>
      </c>
      <c r="AX104" s="78" t="str">
        <f>IF(AND($D104&gt;0,AX$6&gt;=$D104,AX$6&lt;=$E104),1,IF(AND($F104&gt;0,AX$6=$F104),"◆",""))</f>
        <v/>
      </c>
      <c r="AY104" s="78" t="str">
        <f>IF(AND($D104&gt;0,AY$6&gt;=$D104,AY$6&lt;=$E104),1,IF(AND($F104&gt;0,AY$6=$F104),"◆",""))</f>
        <v/>
      </c>
      <c r="AZ104" s="78" t="str">
        <f>IF(AND($D104&gt;0,AZ$6&gt;=$D104,AZ$6&lt;=$E104),1,IF(AND($F104&gt;0,AZ$6=$F104),"◆",""))</f>
        <v/>
      </c>
      <c r="BA104" s="78" t="str">
        <f>IF(AND($D104&gt;0,BA$6&gt;=$D104,BA$6&lt;=$E104),1,IF(AND($F104&gt;0,BA$6=$F104),"◆",""))</f>
        <v/>
      </c>
      <c r="BB104" s="78" t="str">
        <f>IF(AND($D104&gt;0,BB$6&gt;=$D104,BB$6&lt;=$E104),1,IF(AND($F104&gt;0,BB$6=$F104),"◆",""))</f>
        <v/>
      </c>
      <c r="BC104" s="78" t="str">
        <f>IF(AND($D104&gt;0,BC$6&gt;=$D104,BC$6&lt;=$E104),1,IF(AND($F104&gt;0,BC$6=$F104),"◆",""))</f>
        <v/>
      </c>
      <c r="BD104" s="78" t="str">
        <f>IF(AND($D104&gt;0,BD$6&gt;=$D104,BD$6&lt;=$E104),1,IF(AND($F104&gt;0,BD$6=$F104),"◆",""))</f>
        <v/>
      </c>
      <c r="BE104" s="78" t="str">
        <f>IF(AND($D104&gt;0,BE$6&gt;=$D104,BE$6&lt;=$E104),1,IF(AND($F104&gt;0,BE$6=$F104),"◆",""))</f>
        <v/>
      </c>
      <c r="BF104" s="78" t="str">
        <f>IF(AND($D104&gt;0,BF$6&gt;=$D104,BF$6&lt;=$E104),1,IF(AND($F104&gt;0,BF$6=$F104),"◆",""))</f>
        <v/>
      </c>
      <c r="BG104" s="78" t="str">
        <f>IF(AND($D104&gt;0,BG$6&gt;=$D104,BG$6&lt;=$E104),1,IF(AND($F104&gt;0,BG$6=$F104),"◆",""))</f>
        <v/>
      </c>
      <c r="BH104" s="78" t="str">
        <f>IF(AND($D104&gt;0,BH$6&gt;=$D104,BH$6&lt;=$E104),1,IF(AND($F104&gt;0,BH$6=$F104),"◆",""))</f>
        <v/>
      </c>
      <c r="BI104" s="78" t="str">
        <f>IF(AND($D104&gt;0,BI$6&gt;=$D104,BI$6&lt;=$E104),1,IF(AND($F104&gt;0,BI$6=$F104),"◆",""))</f>
        <v/>
      </c>
      <c r="BJ104" s="78" t="str">
        <f>IF(AND($D104&gt;0,BJ$6&gt;=$D104,BJ$6&lt;=$E104),1,IF(AND($F104&gt;0,BJ$6=$F104),"◆",""))</f>
        <v/>
      </c>
      <c r="BK104" s="78" t="str">
        <f>IF(AND($D104&gt;0,BK$6&gt;=$D104,BK$6&lt;=$E104),1,IF(AND($F104&gt;0,BK$6=$F104),"◆",""))</f>
        <v/>
      </c>
      <c r="BL104" s="78" t="str">
        <f>IF(AND($D104&gt;0,BL$6&gt;=$D104,BL$6&lt;=$E104),1,IF(AND($F104&gt;0,BL$6=$F104),"◆",""))</f>
        <v/>
      </c>
      <c r="BM104" s="78" t="str">
        <f>IF(AND($D104&gt;0,BM$6&gt;=$D104,BM$6&lt;=$E104),1,IF(AND($F104&gt;0,BM$6=$F104),"◆",""))</f>
        <v/>
      </c>
      <c r="BN104" s="78" t="str">
        <f>IF(AND($D104&gt;0,BN$6&gt;=$D104,BN$6&lt;=$E104),1,IF(AND($F104&gt;0,BN$6=$F104),"◆",""))</f>
        <v/>
      </c>
      <c r="BO104" s="78" t="str">
        <f>IF(AND($D104&gt;0,BO$6&gt;=$D104,BO$6&lt;=$E104),1,IF(AND($F104&gt;0,BO$6=$F104),"◆",""))</f>
        <v/>
      </c>
      <c r="BP104" s="78" t="str">
        <f>IF(AND($D104&gt;0,BP$6&gt;=$D104,BP$6&lt;=$E104),1,IF(AND($F104&gt;0,BP$6=$F104),"◆",""))</f>
        <v/>
      </c>
    </row>
    <row r="105">
      <c r="A105" s="75" t="str">
        <f>IF(INDEX(of_ref,99)="","",INDEX(of_num,99)&amp;"")</f>
        <v/>
      </c>
      <c r="B105" s="75" t="str">
        <f>IF(INDEX(of_ref,99)="","",INDEX(of_des,99)&amp;"")</f>
        <v/>
      </c>
      <c r="C105" s="76" t="str">
        <f>IF(INDEX(of_ref,99)="","",INDEX(of_poste,99)&amp;"")</f>
        <v/>
      </c>
      <c r="D105" s="77">
        <f>INDEX(of_start,99)</f>
        <v>0.0</v>
      </c>
      <c r="E105" s="77">
        <f>INDEX(of_end,99)</f>
        <v>0.0</v>
      </c>
      <c r="F105" s="77">
        <f>IF(N(INDEX(of_need,99))=0,0,INDEX(of_need,99))</f>
        <v>0.0</v>
      </c>
      <c r="G105" s="76" t="str">
        <f>IF(INDEX(of_ref,99)="","",INDEX(of_etat,99)&amp;"")</f>
        <v/>
      </c>
      <c r="I105" s="78" t="str">
        <f>IF(AND($D105&gt;0,I$6&gt;=$D105,I$6&lt;=$E105),1,IF(AND($F105&gt;0,I$6=$F105),"◆",""))</f>
        <v/>
      </c>
      <c r="J105" s="78" t="str">
        <f>IF(AND($D105&gt;0,J$6&gt;=$D105,J$6&lt;=$E105),1,IF(AND($F105&gt;0,J$6=$F105),"◆",""))</f>
        <v/>
      </c>
      <c r="K105" s="78" t="str">
        <f>IF(AND($D105&gt;0,K$6&gt;=$D105,K$6&lt;=$E105),1,IF(AND($F105&gt;0,K$6=$F105),"◆",""))</f>
        <v/>
      </c>
      <c r="L105" s="78" t="str">
        <f>IF(AND($D105&gt;0,L$6&gt;=$D105,L$6&lt;=$E105),1,IF(AND($F105&gt;0,L$6=$F105),"◆",""))</f>
        <v/>
      </c>
      <c r="M105" s="78" t="str">
        <f>IF(AND($D105&gt;0,M$6&gt;=$D105,M$6&lt;=$E105),1,IF(AND($F105&gt;0,M$6=$F105),"◆",""))</f>
        <v/>
      </c>
      <c r="N105" s="78" t="str">
        <f>IF(AND($D105&gt;0,N$6&gt;=$D105,N$6&lt;=$E105),1,IF(AND($F105&gt;0,N$6=$F105),"◆",""))</f>
        <v/>
      </c>
      <c r="O105" s="78" t="str">
        <f>IF(AND($D105&gt;0,O$6&gt;=$D105,O$6&lt;=$E105),1,IF(AND($F105&gt;0,O$6=$F105),"◆",""))</f>
        <v/>
      </c>
      <c r="P105" s="78" t="str">
        <f>IF(AND($D105&gt;0,P$6&gt;=$D105,P$6&lt;=$E105),1,IF(AND($F105&gt;0,P$6=$F105),"◆",""))</f>
        <v/>
      </c>
      <c r="Q105" s="78" t="str">
        <f>IF(AND($D105&gt;0,Q$6&gt;=$D105,Q$6&lt;=$E105),1,IF(AND($F105&gt;0,Q$6=$F105),"◆",""))</f>
        <v/>
      </c>
      <c r="R105" s="78" t="str">
        <f>IF(AND($D105&gt;0,R$6&gt;=$D105,R$6&lt;=$E105),1,IF(AND($F105&gt;0,R$6=$F105),"◆",""))</f>
        <v/>
      </c>
      <c r="S105" s="78" t="str">
        <f>IF(AND($D105&gt;0,S$6&gt;=$D105,S$6&lt;=$E105),1,IF(AND($F105&gt;0,S$6=$F105),"◆",""))</f>
        <v/>
      </c>
      <c r="T105" s="78" t="str">
        <f>IF(AND($D105&gt;0,T$6&gt;=$D105,T$6&lt;=$E105),1,IF(AND($F105&gt;0,T$6=$F105),"◆",""))</f>
        <v/>
      </c>
      <c r="U105" s="78" t="str">
        <f>IF(AND($D105&gt;0,U$6&gt;=$D105,U$6&lt;=$E105),1,IF(AND($F105&gt;0,U$6=$F105),"◆",""))</f>
        <v/>
      </c>
      <c r="V105" s="78" t="str">
        <f>IF(AND($D105&gt;0,V$6&gt;=$D105,V$6&lt;=$E105),1,IF(AND($F105&gt;0,V$6=$F105),"◆",""))</f>
        <v/>
      </c>
      <c r="W105" s="78" t="str">
        <f>IF(AND($D105&gt;0,W$6&gt;=$D105,W$6&lt;=$E105),1,IF(AND($F105&gt;0,W$6=$F105),"◆",""))</f>
        <v/>
      </c>
      <c r="X105" s="78" t="str">
        <f>IF(AND($D105&gt;0,X$6&gt;=$D105,X$6&lt;=$E105),1,IF(AND($F105&gt;0,X$6=$F105),"◆",""))</f>
        <v/>
      </c>
      <c r="Y105" s="78" t="str">
        <f>IF(AND($D105&gt;0,Y$6&gt;=$D105,Y$6&lt;=$E105),1,IF(AND($F105&gt;0,Y$6=$F105),"◆",""))</f>
        <v/>
      </c>
      <c r="Z105" s="78" t="str">
        <f>IF(AND($D105&gt;0,Z$6&gt;=$D105,Z$6&lt;=$E105),1,IF(AND($F105&gt;0,Z$6=$F105),"◆",""))</f>
        <v/>
      </c>
      <c r="AA105" s="78" t="str">
        <f>IF(AND($D105&gt;0,AA$6&gt;=$D105,AA$6&lt;=$E105),1,IF(AND($F105&gt;0,AA$6=$F105),"◆",""))</f>
        <v/>
      </c>
      <c r="AB105" s="78" t="str">
        <f>IF(AND($D105&gt;0,AB$6&gt;=$D105,AB$6&lt;=$E105),1,IF(AND($F105&gt;0,AB$6=$F105),"◆",""))</f>
        <v/>
      </c>
      <c r="AC105" s="78" t="str">
        <f>IF(AND($D105&gt;0,AC$6&gt;=$D105,AC$6&lt;=$E105),1,IF(AND($F105&gt;0,AC$6=$F105),"◆",""))</f>
        <v/>
      </c>
      <c r="AD105" s="78" t="str">
        <f>IF(AND($D105&gt;0,AD$6&gt;=$D105,AD$6&lt;=$E105),1,IF(AND($F105&gt;0,AD$6=$F105),"◆",""))</f>
        <v/>
      </c>
      <c r="AE105" s="78" t="str">
        <f>IF(AND($D105&gt;0,AE$6&gt;=$D105,AE$6&lt;=$E105),1,IF(AND($F105&gt;0,AE$6=$F105),"◆",""))</f>
        <v/>
      </c>
      <c r="AF105" s="78" t="str">
        <f>IF(AND($D105&gt;0,AF$6&gt;=$D105,AF$6&lt;=$E105),1,IF(AND($F105&gt;0,AF$6=$F105),"◆",""))</f>
        <v/>
      </c>
      <c r="AG105" s="78" t="str">
        <f>IF(AND($D105&gt;0,AG$6&gt;=$D105,AG$6&lt;=$E105),1,IF(AND($F105&gt;0,AG$6=$F105),"◆",""))</f>
        <v/>
      </c>
      <c r="AH105" s="78" t="str">
        <f>IF(AND($D105&gt;0,AH$6&gt;=$D105,AH$6&lt;=$E105),1,IF(AND($F105&gt;0,AH$6=$F105),"◆",""))</f>
        <v/>
      </c>
      <c r="AI105" s="78" t="str">
        <f>IF(AND($D105&gt;0,AI$6&gt;=$D105,AI$6&lt;=$E105),1,IF(AND($F105&gt;0,AI$6=$F105),"◆",""))</f>
        <v/>
      </c>
      <c r="AJ105" s="78" t="str">
        <f>IF(AND($D105&gt;0,AJ$6&gt;=$D105,AJ$6&lt;=$E105),1,IF(AND($F105&gt;0,AJ$6=$F105),"◆",""))</f>
        <v/>
      </c>
      <c r="AK105" s="78" t="str">
        <f>IF(AND($D105&gt;0,AK$6&gt;=$D105,AK$6&lt;=$E105),1,IF(AND($F105&gt;0,AK$6=$F105),"◆",""))</f>
        <v/>
      </c>
      <c r="AL105" s="78" t="str">
        <f>IF(AND($D105&gt;0,AL$6&gt;=$D105,AL$6&lt;=$E105),1,IF(AND($F105&gt;0,AL$6=$F105),"◆",""))</f>
        <v/>
      </c>
      <c r="AM105" s="78" t="str">
        <f>IF(AND($D105&gt;0,AM$6&gt;=$D105,AM$6&lt;=$E105),1,IF(AND($F105&gt;0,AM$6=$F105),"◆",""))</f>
        <v/>
      </c>
      <c r="AN105" s="78" t="str">
        <f>IF(AND($D105&gt;0,AN$6&gt;=$D105,AN$6&lt;=$E105),1,IF(AND($F105&gt;0,AN$6=$F105),"◆",""))</f>
        <v/>
      </c>
      <c r="AO105" s="78" t="str">
        <f>IF(AND($D105&gt;0,AO$6&gt;=$D105,AO$6&lt;=$E105),1,IF(AND($F105&gt;0,AO$6=$F105),"◆",""))</f>
        <v/>
      </c>
      <c r="AP105" s="78" t="str">
        <f>IF(AND($D105&gt;0,AP$6&gt;=$D105,AP$6&lt;=$E105),1,IF(AND($F105&gt;0,AP$6=$F105),"◆",""))</f>
        <v/>
      </c>
      <c r="AQ105" s="78" t="str">
        <f>IF(AND($D105&gt;0,AQ$6&gt;=$D105,AQ$6&lt;=$E105),1,IF(AND($F105&gt;0,AQ$6=$F105),"◆",""))</f>
        <v/>
      </c>
      <c r="AR105" s="78" t="str">
        <f>IF(AND($D105&gt;0,AR$6&gt;=$D105,AR$6&lt;=$E105),1,IF(AND($F105&gt;0,AR$6=$F105),"◆",""))</f>
        <v/>
      </c>
      <c r="AS105" s="78" t="str">
        <f>IF(AND($D105&gt;0,AS$6&gt;=$D105,AS$6&lt;=$E105),1,IF(AND($F105&gt;0,AS$6=$F105),"◆",""))</f>
        <v/>
      </c>
      <c r="AT105" s="78" t="str">
        <f>IF(AND($D105&gt;0,AT$6&gt;=$D105,AT$6&lt;=$E105),1,IF(AND($F105&gt;0,AT$6=$F105),"◆",""))</f>
        <v/>
      </c>
      <c r="AU105" s="78" t="str">
        <f>IF(AND($D105&gt;0,AU$6&gt;=$D105,AU$6&lt;=$E105),1,IF(AND($F105&gt;0,AU$6=$F105),"◆",""))</f>
        <v/>
      </c>
      <c r="AV105" s="78" t="str">
        <f>IF(AND($D105&gt;0,AV$6&gt;=$D105,AV$6&lt;=$E105),1,IF(AND($F105&gt;0,AV$6=$F105),"◆",""))</f>
        <v/>
      </c>
      <c r="AW105" s="78" t="str">
        <f>IF(AND($D105&gt;0,AW$6&gt;=$D105,AW$6&lt;=$E105),1,IF(AND($F105&gt;0,AW$6=$F105),"◆",""))</f>
        <v/>
      </c>
      <c r="AX105" s="78" t="str">
        <f>IF(AND($D105&gt;0,AX$6&gt;=$D105,AX$6&lt;=$E105),1,IF(AND($F105&gt;0,AX$6=$F105),"◆",""))</f>
        <v/>
      </c>
      <c r="AY105" s="78" t="str">
        <f>IF(AND($D105&gt;0,AY$6&gt;=$D105,AY$6&lt;=$E105),1,IF(AND($F105&gt;0,AY$6=$F105),"◆",""))</f>
        <v/>
      </c>
      <c r="AZ105" s="78" t="str">
        <f>IF(AND($D105&gt;0,AZ$6&gt;=$D105,AZ$6&lt;=$E105),1,IF(AND($F105&gt;0,AZ$6=$F105),"◆",""))</f>
        <v/>
      </c>
      <c r="BA105" s="78" t="str">
        <f>IF(AND($D105&gt;0,BA$6&gt;=$D105,BA$6&lt;=$E105),1,IF(AND($F105&gt;0,BA$6=$F105),"◆",""))</f>
        <v/>
      </c>
      <c r="BB105" s="78" t="str">
        <f>IF(AND($D105&gt;0,BB$6&gt;=$D105,BB$6&lt;=$E105),1,IF(AND($F105&gt;0,BB$6=$F105),"◆",""))</f>
        <v/>
      </c>
      <c r="BC105" s="78" t="str">
        <f>IF(AND($D105&gt;0,BC$6&gt;=$D105,BC$6&lt;=$E105),1,IF(AND($F105&gt;0,BC$6=$F105),"◆",""))</f>
        <v/>
      </c>
      <c r="BD105" s="78" t="str">
        <f>IF(AND($D105&gt;0,BD$6&gt;=$D105,BD$6&lt;=$E105),1,IF(AND($F105&gt;0,BD$6=$F105),"◆",""))</f>
        <v/>
      </c>
      <c r="BE105" s="78" t="str">
        <f>IF(AND($D105&gt;0,BE$6&gt;=$D105,BE$6&lt;=$E105),1,IF(AND($F105&gt;0,BE$6=$F105),"◆",""))</f>
        <v/>
      </c>
      <c r="BF105" s="78" t="str">
        <f>IF(AND($D105&gt;0,BF$6&gt;=$D105,BF$6&lt;=$E105),1,IF(AND($F105&gt;0,BF$6=$F105),"◆",""))</f>
        <v/>
      </c>
      <c r="BG105" s="78" t="str">
        <f>IF(AND($D105&gt;0,BG$6&gt;=$D105,BG$6&lt;=$E105),1,IF(AND($F105&gt;0,BG$6=$F105),"◆",""))</f>
        <v/>
      </c>
      <c r="BH105" s="78" t="str">
        <f>IF(AND($D105&gt;0,BH$6&gt;=$D105,BH$6&lt;=$E105),1,IF(AND($F105&gt;0,BH$6=$F105),"◆",""))</f>
        <v/>
      </c>
      <c r="BI105" s="78" t="str">
        <f>IF(AND($D105&gt;0,BI$6&gt;=$D105,BI$6&lt;=$E105),1,IF(AND($F105&gt;0,BI$6=$F105),"◆",""))</f>
        <v/>
      </c>
      <c r="BJ105" s="78" t="str">
        <f>IF(AND($D105&gt;0,BJ$6&gt;=$D105,BJ$6&lt;=$E105),1,IF(AND($F105&gt;0,BJ$6=$F105),"◆",""))</f>
        <v/>
      </c>
      <c r="BK105" s="78" t="str">
        <f>IF(AND($D105&gt;0,BK$6&gt;=$D105,BK$6&lt;=$E105),1,IF(AND($F105&gt;0,BK$6=$F105),"◆",""))</f>
        <v/>
      </c>
      <c r="BL105" s="78" t="str">
        <f>IF(AND($D105&gt;0,BL$6&gt;=$D105,BL$6&lt;=$E105),1,IF(AND($F105&gt;0,BL$6=$F105),"◆",""))</f>
        <v/>
      </c>
      <c r="BM105" s="78" t="str">
        <f>IF(AND($D105&gt;0,BM$6&gt;=$D105,BM$6&lt;=$E105),1,IF(AND($F105&gt;0,BM$6=$F105),"◆",""))</f>
        <v/>
      </c>
      <c r="BN105" s="78" t="str">
        <f>IF(AND($D105&gt;0,BN$6&gt;=$D105,BN$6&lt;=$E105),1,IF(AND($F105&gt;0,BN$6=$F105),"◆",""))</f>
        <v/>
      </c>
      <c r="BO105" s="78" t="str">
        <f>IF(AND($D105&gt;0,BO$6&gt;=$D105,BO$6&lt;=$E105),1,IF(AND($F105&gt;0,BO$6=$F105),"◆",""))</f>
        <v/>
      </c>
      <c r="BP105" s="78" t="str">
        <f>IF(AND($D105&gt;0,BP$6&gt;=$D105,BP$6&lt;=$E105),1,IF(AND($F105&gt;0,BP$6=$F105),"◆",""))</f>
        <v/>
      </c>
    </row>
    <row r="106">
      <c r="A106" s="75" t="str">
        <f>IF(INDEX(of_ref,100)="","",INDEX(of_num,100)&amp;"")</f>
        <v/>
      </c>
      <c r="B106" s="75" t="str">
        <f>IF(INDEX(of_ref,100)="","",INDEX(of_des,100)&amp;"")</f>
        <v/>
      </c>
      <c r="C106" s="76" t="str">
        <f>IF(INDEX(of_ref,100)="","",INDEX(of_poste,100)&amp;"")</f>
        <v/>
      </c>
      <c r="D106" s="77">
        <f>INDEX(of_start,100)</f>
        <v>0.0</v>
      </c>
      <c r="E106" s="77">
        <f>INDEX(of_end,100)</f>
        <v>0.0</v>
      </c>
      <c r="F106" s="77">
        <f>IF(N(INDEX(of_need,100))=0,0,INDEX(of_need,100))</f>
        <v>0.0</v>
      </c>
      <c r="G106" s="76" t="str">
        <f>IF(INDEX(of_ref,100)="","",INDEX(of_etat,100)&amp;"")</f>
        <v/>
      </c>
      <c r="I106" s="78" t="str">
        <f>IF(AND($D106&gt;0,I$6&gt;=$D106,I$6&lt;=$E106),1,IF(AND($F106&gt;0,I$6=$F106),"◆",""))</f>
        <v/>
      </c>
      <c r="J106" s="78" t="str">
        <f>IF(AND($D106&gt;0,J$6&gt;=$D106,J$6&lt;=$E106),1,IF(AND($F106&gt;0,J$6=$F106),"◆",""))</f>
        <v/>
      </c>
      <c r="K106" s="78" t="str">
        <f>IF(AND($D106&gt;0,K$6&gt;=$D106,K$6&lt;=$E106),1,IF(AND($F106&gt;0,K$6=$F106),"◆",""))</f>
        <v/>
      </c>
      <c r="L106" s="78" t="str">
        <f>IF(AND($D106&gt;0,L$6&gt;=$D106,L$6&lt;=$E106),1,IF(AND($F106&gt;0,L$6=$F106),"◆",""))</f>
        <v/>
      </c>
      <c r="M106" s="78" t="str">
        <f>IF(AND($D106&gt;0,M$6&gt;=$D106,M$6&lt;=$E106),1,IF(AND($F106&gt;0,M$6=$F106),"◆",""))</f>
        <v/>
      </c>
      <c r="N106" s="78" t="str">
        <f>IF(AND($D106&gt;0,N$6&gt;=$D106,N$6&lt;=$E106),1,IF(AND($F106&gt;0,N$6=$F106),"◆",""))</f>
        <v/>
      </c>
      <c r="O106" s="78" t="str">
        <f>IF(AND($D106&gt;0,O$6&gt;=$D106,O$6&lt;=$E106),1,IF(AND($F106&gt;0,O$6=$F106),"◆",""))</f>
        <v/>
      </c>
      <c r="P106" s="78" t="str">
        <f>IF(AND($D106&gt;0,P$6&gt;=$D106,P$6&lt;=$E106),1,IF(AND($F106&gt;0,P$6=$F106),"◆",""))</f>
        <v/>
      </c>
      <c r="Q106" s="78" t="str">
        <f>IF(AND($D106&gt;0,Q$6&gt;=$D106,Q$6&lt;=$E106),1,IF(AND($F106&gt;0,Q$6=$F106),"◆",""))</f>
        <v/>
      </c>
      <c r="R106" s="78" t="str">
        <f>IF(AND($D106&gt;0,R$6&gt;=$D106,R$6&lt;=$E106),1,IF(AND($F106&gt;0,R$6=$F106),"◆",""))</f>
        <v/>
      </c>
      <c r="S106" s="78" t="str">
        <f>IF(AND($D106&gt;0,S$6&gt;=$D106,S$6&lt;=$E106),1,IF(AND($F106&gt;0,S$6=$F106),"◆",""))</f>
        <v/>
      </c>
      <c r="T106" s="78" t="str">
        <f>IF(AND($D106&gt;0,T$6&gt;=$D106,T$6&lt;=$E106),1,IF(AND($F106&gt;0,T$6=$F106),"◆",""))</f>
        <v/>
      </c>
      <c r="U106" s="78" t="str">
        <f>IF(AND($D106&gt;0,U$6&gt;=$D106,U$6&lt;=$E106),1,IF(AND($F106&gt;0,U$6=$F106),"◆",""))</f>
        <v/>
      </c>
      <c r="V106" s="78" t="str">
        <f>IF(AND($D106&gt;0,V$6&gt;=$D106,V$6&lt;=$E106),1,IF(AND($F106&gt;0,V$6=$F106),"◆",""))</f>
        <v/>
      </c>
      <c r="W106" s="78" t="str">
        <f>IF(AND($D106&gt;0,W$6&gt;=$D106,W$6&lt;=$E106),1,IF(AND($F106&gt;0,W$6=$F106),"◆",""))</f>
        <v/>
      </c>
      <c r="X106" s="78" t="str">
        <f>IF(AND($D106&gt;0,X$6&gt;=$D106,X$6&lt;=$E106),1,IF(AND($F106&gt;0,X$6=$F106),"◆",""))</f>
        <v/>
      </c>
      <c r="Y106" s="78" t="str">
        <f>IF(AND($D106&gt;0,Y$6&gt;=$D106,Y$6&lt;=$E106),1,IF(AND($F106&gt;0,Y$6=$F106),"◆",""))</f>
        <v/>
      </c>
      <c r="Z106" s="78" t="str">
        <f>IF(AND($D106&gt;0,Z$6&gt;=$D106,Z$6&lt;=$E106),1,IF(AND($F106&gt;0,Z$6=$F106),"◆",""))</f>
        <v/>
      </c>
      <c r="AA106" s="78" t="str">
        <f>IF(AND($D106&gt;0,AA$6&gt;=$D106,AA$6&lt;=$E106),1,IF(AND($F106&gt;0,AA$6=$F106),"◆",""))</f>
        <v/>
      </c>
      <c r="AB106" s="78" t="str">
        <f>IF(AND($D106&gt;0,AB$6&gt;=$D106,AB$6&lt;=$E106),1,IF(AND($F106&gt;0,AB$6=$F106),"◆",""))</f>
        <v/>
      </c>
      <c r="AC106" s="78" t="str">
        <f>IF(AND($D106&gt;0,AC$6&gt;=$D106,AC$6&lt;=$E106),1,IF(AND($F106&gt;0,AC$6=$F106),"◆",""))</f>
        <v/>
      </c>
      <c r="AD106" s="78" t="str">
        <f>IF(AND($D106&gt;0,AD$6&gt;=$D106,AD$6&lt;=$E106),1,IF(AND($F106&gt;0,AD$6=$F106),"◆",""))</f>
        <v/>
      </c>
      <c r="AE106" s="78" t="str">
        <f>IF(AND($D106&gt;0,AE$6&gt;=$D106,AE$6&lt;=$E106),1,IF(AND($F106&gt;0,AE$6=$F106),"◆",""))</f>
        <v/>
      </c>
      <c r="AF106" s="78" t="str">
        <f>IF(AND($D106&gt;0,AF$6&gt;=$D106,AF$6&lt;=$E106),1,IF(AND($F106&gt;0,AF$6=$F106),"◆",""))</f>
        <v/>
      </c>
      <c r="AG106" s="78" t="str">
        <f>IF(AND($D106&gt;0,AG$6&gt;=$D106,AG$6&lt;=$E106),1,IF(AND($F106&gt;0,AG$6=$F106),"◆",""))</f>
        <v/>
      </c>
      <c r="AH106" s="78" t="str">
        <f>IF(AND($D106&gt;0,AH$6&gt;=$D106,AH$6&lt;=$E106),1,IF(AND($F106&gt;0,AH$6=$F106),"◆",""))</f>
        <v/>
      </c>
      <c r="AI106" s="78" t="str">
        <f>IF(AND($D106&gt;0,AI$6&gt;=$D106,AI$6&lt;=$E106),1,IF(AND($F106&gt;0,AI$6=$F106),"◆",""))</f>
        <v/>
      </c>
      <c r="AJ106" s="78" t="str">
        <f>IF(AND($D106&gt;0,AJ$6&gt;=$D106,AJ$6&lt;=$E106),1,IF(AND($F106&gt;0,AJ$6=$F106),"◆",""))</f>
        <v/>
      </c>
      <c r="AK106" s="78" t="str">
        <f>IF(AND($D106&gt;0,AK$6&gt;=$D106,AK$6&lt;=$E106),1,IF(AND($F106&gt;0,AK$6=$F106),"◆",""))</f>
        <v/>
      </c>
      <c r="AL106" s="78" t="str">
        <f>IF(AND($D106&gt;0,AL$6&gt;=$D106,AL$6&lt;=$E106),1,IF(AND($F106&gt;0,AL$6=$F106),"◆",""))</f>
        <v/>
      </c>
      <c r="AM106" s="78" t="str">
        <f>IF(AND($D106&gt;0,AM$6&gt;=$D106,AM$6&lt;=$E106),1,IF(AND($F106&gt;0,AM$6=$F106),"◆",""))</f>
        <v/>
      </c>
      <c r="AN106" s="78" t="str">
        <f>IF(AND($D106&gt;0,AN$6&gt;=$D106,AN$6&lt;=$E106),1,IF(AND($F106&gt;0,AN$6=$F106),"◆",""))</f>
        <v/>
      </c>
      <c r="AO106" s="78" t="str">
        <f>IF(AND($D106&gt;0,AO$6&gt;=$D106,AO$6&lt;=$E106),1,IF(AND($F106&gt;0,AO$6=$F106),"◆",""))</f>
        <v/>
      </c>
      <c r="AP106" s="78" t="str">
        <f>IF(AND($D106&gt;0,AP$6&gt;=$D106,AP$6&lt;=$E106),1,IF(AND($F106&gt;0,AP$6=$F106),"◆",""))</f>
        <v/>
      </c>
      <c r="AQ106" s="78" t="str">
        <f>IF(AND($D106&gt;0,AQ$6&gt;=$D106,AQ$6&lt;=$E106),1,IF(AND($F106&gt;0,AQ$6=$F106),"◆",""))</f>
        <v/>
      </c>
      <c r="AR106" s="78" t="str">
        <f>IF(AND($D106&gt;0,AR$6&gt;=$D106,AR$6&lt;=$E106),1,IF(AND($F106&gt;0,AR$6=$F106),"◆",""))</f>
        <v/>
      </c>
      <c r="AS106" s="78" t="str">
        <f>IF(AND($D106&gt;0,AS$6&gt;=$D106,AS$6&lt;=$E106),1,IF(AND($F106&gt;0,AS$6=$F106),"◆",""))</f>
        <v/>
      </c>
      <c r="AT106" s="78" t="str">
        <f>IF(AND($D106&gt;0,AT$6&gt;=$D106,AT$6&lt;=$E106),1,IF(AND($F106&gt;0,AT$6=$F106),"◆",""))</f>
        <v/>
      </c>
      <c r="AU106" s="78" t="str">
        <f>IF(AND($D106&gt;0,AU$6&gt;=$D106,AU$6&lt;=$E106),1,IF(AND($F106&gt;0,AU$6=$F106),"◆",""))</f>
        <v/>
      </c>
      <c r="AV106" s="78" t="str">
        <f>IF(AND($D106&gt;0,AV$6&gt;=$D106,AV$6&lt;=$E106),1,IF(AND($F106&gt;0,AV$6=$F106),"◆",""))</f>
        <v/>
      </c>
      <c r="AW106" s="78" t="str">
        <f>IF(AND($D106&gt;0,AW$6&gt;=$D106,AW$6&lt;=$E106),1,IF(AND($F106&gt;0,AW$6=$F106),"◆",""))</f>
        <v/>
      </c>
      <c r="AX106" s="78" t="str">
        <f>IF(AND($D106&gt;0,AX$6&gt;=$D106,AX$6&lt;=$E106),1,IF(AND($F106&gt;0,AX$6=$F106),"◆",""))</f>
        <v/>
      </c>
      <c r="AY106" s="78" t="str">
        <f>IF(AND($D106&gt;0,AY$6&gt;=$D106,AY$6&lt;=$E106),1,IF(AND($F106&gt;0,AY$6=$F106),"◆",""))</f>
        <v/>
      </c>
      <c r="AZ106" s="78" t="str">
        <f>IF(AND($D106&gt;0,AZ$6&gt;=$D106,AZ$6&lt;=$E106),1,IF(AND($F106&gt;0,AZ$6=$F106),"◆",""))</f>
        <v/>
      </c>
      <c r="BA106" s="78" t="str">
        <f>IF(AND($D106&gt;0,BA$6&gt;=$D106,BA$6&lt;=$E106),1,IF(AND($F106&gt;0,BA$6=$F106),"◆",""))</f>
        <v/>
      </c>
      <c r="BB106" s="78" t="str">
        <f>IF(AND($D106&gt;0,BB$6&gt;=$D106,BB$6&lt;=$E106),1,IF(AND($F106&gt;0,BB$6=$F106),"◆",""))</f>
        <v/>
      </c>
      <c r="BC106" s="78" t="str">
        <f>IF(AND($D106&gt;0,BC$6&gt;=$D106,BC$6&lt;=$E106),1,IF(AND($F106&gt;0,BC$6=$F106),"◆",""))</f>
        <v/>
      </c>
      <c r="BD106" s="78" t="str">
        <f>IF(AND($D106&gt;0,BD$6&gt;=$D106,BD$6&lt;=$E106),1,IF(AND($F106&gt;0,BD$6=$F106),"◆",""))</f>
        <v/>
      </c>
      <c r="BE106" s="78" t="str">
        <f>IF(AND($D106&gt;0,BE$6&gt;=$D106,BE$6&lt;=$E106),1,IF(AND($F106&gt;0,BE$6=$F106),"◆",""))</f>
        <v/>
      </c>
      <c r="BF106" s="78" t="str">
        <f>IF(AND($D106&gt;0,BF$6&gt;=$D106,BF$6&lt;=$E106),1,IF(AND($F106&gt;0,BF$6=$F106),"◆",""))</f>
        <v/>
      </c>
      <c r="BG106" s="78" t="str">
        <f>IF(AND($D106&gt;0,BG$6&gt;=$D106,BG$6&lt;=$E106),1,IF(AND($F106&gt;0,BG$6=$F106),"◆",""))</f>
        <v/>
      </c>
      <c r="BH106" s="78" t="str">
        <f>IF(AND($D106&gt;0,BH$6&gt;=$D106,BH$6&lt;=$E106),1,IF(AND($F106&gt;0,BH$6=$F106),"◆",""))</f>
        <v/>
      </c>
      <c r="BI106" s="78" t="str">
        <f>IF(AND($D106&gt;0,BI$6&gt;=$D106,BI$6&lt;=$E106),1,IF(AND($F106&gt;0,BI$6=$F106),"◆",""))</f>
        <v/>
      </c>
      <c r="BJ106" s="78" t="str">
        <f>IF(AND($D106&gt;0,BJ$6&gt;=$D106,BJ$6&lt;=$E106),1,IF(AND($F106&gt;0,BJ$6=$F106),"◆",""))</f>
        <v/>
      </c>
      <c r="BK106" s="78" t="str">
        <f>IF(AND($D106&gt;0,BK$6&gt;=$D106,BK$6&lt;=$E106),1,IF(AND($F106&gt;0,BK$6=$F106),"◆",""))</f>
        <v/>
      </c>
      <c r="BL106" s="78" t="str">
        <f>IF(AND($D106&gt;0,BL$6&gt;=$D106,BL$6&lt;=$E106),1,IF(AND($F106&gt;0,BL$6=$F106),"◆",""))</f>
        <v/>
      </c>
      <c r="BM106" s="78" t="str">
        <f>IF(AND($D106&gt;0,BM$6&gt;=$D106,BM$6&lt;=$E106),1,IF(AND($F106&gt;0,BM$6=$F106),"◆",""))</f>
        <v/>
      </c>
      <c r="BN106" s="78" t="str">
        <f>IF(AND($D106&gt;0,BN$6&gt;=$D106,BN$6&lt;=$E106),1,IF(AND($F106&gt;0,BN$6=$F106),"◆",""))</f>
        <v/>
      </c>
      <c r="BO106" s="78" t="str">
        <f>IF(AND($D106&gt;0,BO$6&gt;=$D106,BO$6&lt;=$E106),1,IF(AND($F106&gt;0,BO$6=$F106),"◆",""))</f>
        <v/>
      </c>
      <c r="BP106" s="78" t="str">
        <f>IF(AND($D106&gt;0,BP$6&gt;=$D106,BP$6&lt;=$E106),1,IF(AND($F106&gt;0,BP$6=$F106),"◆",""))</f>
        <v/>
      </c>
    </row>
  </sheetData>
  <conditionalFormatting sqref="I7:BP106">
    <cfRule type="expression" priority="1" dxfId="9" stopIfTrue="1">
      <formula>AND(I7=1,$G7="En retard")</formula>
    </cfRule>
    <cfRule type="expression" priority="2" dxfId="10" stopIfTrue="1">
      <formula>AND(I7=1,$G7="Terminé")</formula>
    </cfRule>
    <cfRule type="expression" priority="3" dxfId="11" stopIfTrue="1">
      <formula>AND(I7=1,$G7="Juste")</formula>
    </cfRule>
    <cfRule type="expression" priority="4" dxfId="12" stopIfTrue="1">
      <formula>I7=1</formula>
    </cfRule>
    <cfRule type="expression" priority="5" dxfId="13" stopIfTrue="1">
      <formula>I$6=TODAY()</formula>
    </cfRule>
  </conditionalFormatting>
  <conditionalFormatting sqref="G7:G106">
    <cfRule type="expression" priority="6" dxfId="0">
      <formula>$G7="En retard"</formula>
    </cfRule>
    <cfRule type="expression" priority="7" dxfId="1">
      <formula>$G7="Juste"</formula>
    </cfRule>
    <cfRule type="expression" priority="8" dxfId="2">
      <formula>$G7="À l'heure"</formula>
    </cfRule>
    <cfRule type="expression" priority="9" dxfId="3">
      <formula>$G7="Terminé"</formula>
    </cfRule>
    <cfRule type="expression" priority="10" dxfId="4">
      <formula>$G7="Annulé"</formula>
    </cfRule>
    <cfRule type="expression" priority="11" dxfId="4">
      <formula>$G7="Sans échéance"</formula>
    </cfRule>
    <cfRule type="expression" priority="12" dxfId="5">
      <formula>$G7="À compléter"</formula>
    </cfRule>
  </conditionalFormatting>
  <hyperlinks>
    <hyperlink ref="BP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4D7C0F"/>
    <outlinePr summaryBelow="1" summaryRight="1"/>
    <pageSetUpPr fitToPage="1"/>
  </sheetPr>
  <dimension ref="A1:BV111"/>
  <sheetViews>
    <sheetView showGridLines="0" tabSelected="0"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 width="6.5" customWidth="1" min="33" max="33"/>
    <col width="6.5"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6.5" customWidth="1" min="45" max="45"/>
    <col width="6.5" customWidth="1" min="46" max="46"/>
    <col width="6.5" customWidth="1" min="47" max="47"/>
    <col width="6.5" customWidth="1" min="48" max="48"/>
    <col width="6.5" customWidth="1" min="49" max="49"/>
    <col width="6.5" customWidth="1" min="50" max="50"/>
    <col width="6.5" customWidth="1" min="51" max="51"/>
    <col width="6.5" customWidth="1" min="52" max="52"/>
    <col width="6.5" customWidth="1" min="53" max="53"/>
    <col width="6.5" customWidth="1" min="54" max="54"/>
    <col width="6.5" customWidth="1" min="55" max="55"/>
    <col width="6.5" customWidth="1" min="56" max="56"/>
    <col width="6.5" customWidth="1" min="57" max="57"/>
    <col width="6.5" customWidth="1" min="58" max="58"/>
    <col width="6.5" customWidth="1" min="59" max="59"/>
    <col width="6.5" customWidth="1" min="60" max="60"/>
    <col width="6.5" customWidth="1" min="61" max="61"/>
    <col width="6.5" customWidth="1" min="62" max="62"/>
    <col width="6.5" customWidth="1" min="63" max="63"/>
    <col width="6.5" customWidth="1" min="64" max="64"/>
    <col width="6.5" customWidth="1" min="65" max="65"/>
    <col width="6.5" customWidth="1" min="66" max="66"/>
    <col width="6.5" customWidth="1" min="67" max="67"/>
    <col width="6.5" customWidth="1" min="68" max="68"/>
    <col width="6.5" customWidth="1" min="69" max="69"/>
    <col width="6.5" customWidth="1" min="70" max="70"/>
    <col width="6.5" customWidth="1" min="71" max="71"/>
    <col width="6.5" customWidth="1" min="72" max="72"/>
    <col width="6.5" customWidth="1" min="73" max="73"/>
    <col width="6.5" customWidth="1" min="74" max="74"/>
  </cols>
  <sheetData>
    <row r="1" ht="38" customHeight="1">
      <c r="A1" s="2" t="inlineStr">
        <is>
          <t>Charge par poste</t>
        </is>
      </c>
      <c r="B1" s="1" t="n"/>
      <c r="C1" s="1" t="n"/>
      <c r="D1" s="1" t="n"/>
      <c r="E1" s="1" t="n"/>
      <c r="F1" s="1" t="n"/>
      <c r="G1" s="1" t="n"/>
      <c r="H1" s="1" t="n"/>
      <c r="I1" s="1" t="n"/>
      <c r="J1" s="1" t="n"/>
      <c r="K1" s="1" t="n"/>
      <c r="L1" s="1" t="n"/>
      <c r="M1" s="1" t="n"/>
      <c r="N1" s="18" t="inlineStr">
        <is>
          <t>⌂ Mode d'emploi</t>
        </is>
      </c>
    </row>
    <row r="2" ht="22" customHeight="1">
      <c r="A2" s="4" t="inlineStr">
        <is>
          <t>Heures planifiées par poste et par semaine, face à la capacité. Au-dessus de 100 %, le poste est surchargé.</t>
        </is>
      </c>
      <c r="B2" s="3" t="n"/>
      <c r="C2" s="3" t="n"/>
      <c r="D2" s="3" t="n"/>
      <c r="E2" s="3" t="n"/>
      <c r="F2" s="3" t="n"/>
      <c r="G2" s="3" t="n"/>
      <c r="H2" s="3" t="n"/>
      <c r="I2" s="3" t="n"/>
      <c r="J2" s="3" t="n"/>
      <c r="K2" s="3" t="n"/>
      <c r="L2" s="3" t="n"/>
      <c r="M2" s="3" t="n"/>
      <c r="N2" s="3" t="n"/>
    </row>
    <row r="3" ht="18" customHeight="1"/>
    <row r="5" ht="22" customHeight="1">
      <c r="A5" s="5" t="inlineStr">
        <is>
          <t>Charge planifiée (heures)</t>
        </is>
      </c>
      <c r="B5" s="6" t="n"/>
      <c r="C5" s="6" t="n"/>
      <c r="D5" s="6" t="n"/>
      <c r="E5" s="6" t="n"/>
      <c r="F5" s="6" t="n"/>
      <c r="G5" s="6" t="n"/>
      <c r="H5" s="6" t="n"/>
      <c r="I5" s="6" t="n"/>
      <c r="J5" s="6" t="n"/>
      <c r="K5" s="6" t="n"/>
      <c r="L5" s="6" t="n"/>
      <c r="M5" s="6" t="n"/>
      <c r="N5" s="6" t="n"/>
    </row>
    <row r="6" ht="20" customHeight="1">
      <c r="A6" s="42" t="inlineStr">
        <is>
          <t>Poste</t>
        </is>
      </c>
      <c r="B6" s="42" t="inlineStr">
        <is>
          <t>Nom</t>
        </is>
      </c>
      <c r="C6" s="42" t="str">
        <f>"S"&amp;WEEKNUM(p_monday+0,21)</f>
        <v>S45</v>
      </c>
      <c r="D6" s="42" t="str">
        <f>"S"&amp;WEEKNUM(p_monday+7,21)</f>
        <v>S46</v>
      </c>
      <c r="E6" s="42" t="str">
        <f>"S"&amp;WEEKNUM(p_monday+14,21)</f>
        <v>S47</v>
      </c>
      <c r="F6" s="42" t="str">
        <f>"S"&amp;WEEKNUM(p_monday+21,21)</f>
        <v>S48</v>
      </c>
      <c r="G6" s="42" t="str">
        <f>"S"&amp;WEEKNUM(p_monday+28,21)</f>
        <v>S49</v>
      </c>
      <c r="H6" s="42" t="str">
        <f>"S"&amp;WEEKNUM(p_monday+35,21)</f>
        <v>S50</v>
      </c>
      <c r="I6" s="42" t="str">
        <f>"S"&amp;WEEKNUM(p_monday+42,21)</f>
        <v>S51</v>
      </c>
      <c r="J6" s="42" t="str">
        <f>"S"&amp;WEEKNUM(p_monday+49,21)</f>
        <v>S52</v>
      </c>
      <c r="K6" s="42" t="str">
        <f>"S"&amp;WEEKNUM(p_monday+56,21)</f>
        <v>S53</v>
      </c>
      <c r="L6" s="42" t="str">
        <f>"S"&amp;WEEKNUM(p_monday+63,21)</f>
        <v>S1</v>
      </c>
      <c r="M6" s="42" t="str">
        <f>"S"&amp;WEEKNUM(p_monday+70,21)</f>
        <v>S2</v>
      </c>
      <c r="N6" s="42" t="str">
        <f>"S"&amp;WEEKNUM(p_monday+77,21)</f>
        <v>S3</v>
      </c>
    </row>
    <row r="7">
      <c r="A7" s="79" t="n"/>
      <c r="B7" s="80" t="inlineStr">
        <is>
          <t>Semaine du</t>
        </is>
      </c>
      <c r="C7" s="81">
        <f>p_monday+0</f>
        <v>46328.0</v>
      </c>
      <c r="D7" s="81">
        <f>p_monday+7</f>
        <v>46335.0</v>
      </c>
      <c r="E7" s="81">
        <f>p_monday+14</f>
        <v>46342.0</v>
      </c>
      <c r="F7" s="81">
        <f>p_monday+21</f>
        <v>46349.0</v>
      </c>
      <c r="G7" s="81">
        <f>p_monday+28</f>
        <v>46356.0</v>
      </c>
      <c r="H7" s="81">
        <f>p_monday+35</f>
        <v>46363.0</v>
      </c>
      <c r="I7" s="81">
        <f>p_monday+42</f>
        <v>46370.0</v>
      </c>
      <c r="J7" s="81">
        <f>p_monday+49</f>
        <v>46377.0</v>
      </c>
      <c r="K7" s="81">
        <f>p_monday+56</f>
        <v>46384.0</v>
      </c>
      <c r="L7" s="81">
        <f>p_monday+63</f>
        <v>46391.0</v>
      </c>
      <c r="M7" s="81">
        <f>p_monday+70</f>
        <v>46398.0</v>
      </c>
      <c r="N7" s="81">
        <f>p_monday+77</f>
        <v>46405.0</v>
      </c>
    </row>
    <row r="8">
      <c r="A8" s="82" t="str">
        <f>IF(INDEX(po_code,1)="","",INDEX(po_code,1))</f>
        <v>SCIE</v>
      </c>
      <c r="B8" s="83" t="str">
        <f>IF(A8="","",INDEX(po_name,1)&amp;"")</f>
        <v>Scie à ruban</v>
      </c>
      <c r="C8" s="84">
        <f>IF($A8="","",SUMIF($C$91:$BV$91,1,$C92:$BV92))</f>
        <v>25.8333333333333</v>
      </c>
      <c r="D8" s="84">
        <f>IF($A8="","",SUMIF($C$91:$BV$91,2,$C92:$BV92))</f>
        <v>23.0666666666667</v>
      </c>
      <c r="E8" s="84">
        <f>IF($A8="","",SUMIF($C$91:$BV$91,3,$C92:$BV92))</f>
        <v>0.0</v>
      </c>
      <c r="F8" s="84">
        <f>IF($A8="","",SUMIF($C$91:$BV$91,4,$C92:$BV92))</f>
        <v>0.0</v>
      </c>
      <c r="G8" s="84">
        <f>IF($A8="","",SUMIF($C$91:$BV$91,5,$C92:$BV92))</f>
        <v>0.0</v>
      </c>
      <c r="H8" s="84">
        <f>IF($A8="","",SUMIF($C$91:$BV$91,6,$C92:$BV92))</f>
        <v>0.0</v>
      </c>
      <c r="I8" s="84">
        <f>IF($A8="","",SUMIF($C$91:$BV$91,7,$C92:$BV92))</f>
        <v>0.0</v>
      </c>
      <c r="J8" s="84">
        <f>IF($A8="","",SUMIF($C$91:$BV$91,8,$C92:$BV92))</f>
        <v>0.0</v>
      </c>
      <c r="K8" s="84">
        <f>IF($A8="","",SUMIF($C$91:$BV$91,9,$C92:$BV92))</f>
        <v>0.0</v>
      </c>
      <c r="L8" s="84">
        <f>IF($A8="","",SUMIF($C$91:$BV$91,10,$C92:$BV92))</f>
        <v>0.0</v>
      </c>
      <c r="M8" s="84">
        <f>IF($A8="","",SUMIF($C$91:$BV$91,11,$C92:$BV92))</f>
        <v>0.0</v>
      </c>
      <c r="N8" s="84">
        <f>IF($A8="","",SUMIF($C$91:$BV$91,12,$C92:$BV92))</f>
        <v>0.0</v>
      </c>
    </row>
    <row r="9">
      <c r="A9" s="82" t="str">
        <f>IF(INDEX(po_code,2)="","",INDEX(po_code,2))</f>
        <v>TOUR</v>
      </c>
      <c r="B9" s="83" t="str">
        <f>IF(A9="","",INDEX(po_name,2)&amp;"")</f>
        <v>Tour CN</v>
      </c>
      <c r="C9" s="84">
        <f>IF($A9="","",SUMIF($C$91:$BV$91,1,$C93:$BV93))</f>
        <v>47.375</v>
      </c>
      <c r="D9" s="84">
        <f>IF($A9="","",SUMIF($C$91:$BV$91,2,$C93:$BV93))</f>
        <v>53.875</v>
      </c>
      <c r="E9" s="84">
        <f>IF($A9="","",SUMIF($C$91:$BV$91,3,$C93:$BV93))</f>
        <v>43.75</v>
      </c>
      <c r="F9" s="84">
        <f>IF($A9="","",SUMIF($C$91:$BV$91,4,$C93:$BV93))</f>
        <v>56.5</v>
      </c>
      <c r="G9" s="84">
        <f>IF($A9="","",SUMIF($C$91:$BV$91,5,$C93:$BV93))</f>
        <v>38.0</v>
      </c>
      <c r="H9" s="84">
        <f>IF($A9="","",SUMIF($C$91:$BV$91,6,$C93:$BV93))</f>
        <v>0.0</v>
      </c>
      <c r="I9" s="84">
        <f>IF($A9="","",SUMIF($C$91:$BV$91,7,$C93:$BV93))</f>
        <v>0.0</v>
      </c>
      <c r="J9" s="84">
        <f>IF($A9="","",SUMIF($C$91:$BV$91,8,$C93:$BV93))</f>
        <v>0.0</v>
      </c>
      <c r="K9" s="84">
        <f>IF($A9="","",SUMIF($C$91:$BV$91,9,$C93:$BV93))</f>
        <v>0.0</v>
      </c>
      <c r="L9" s="84">
        <f>IF($A9="","",SUMIF($C$91:$BV$91,10,$C93:$BV93))</f>
        <v>0.0</v>
      </c>
      <c r="M9" s="84">
        <f>IF($A9="","",SUMIF($C$91:$BV$91,11,$C93:$BV93))</f>
        <v>0.0</v>
      </c>
      <c r="N9" s="84">
        <f>IF($A9="","",SUMIF($C$91:$BV$91,12,$C93:$BV93))</f>
        <v>0.0</v>
      </c>
    </row>
    <row r="10">
      <c r="A10" s="82" t="str">
        <f>IF(INDEX(po_code,3)="","",INDEX(po_code,3))</f>
        <v>FRAIS</v>
      </c>
      <c r="B10" s="83" t="str">
        <f>IF(A10="","",INDEX(po_name,3)&amp;"")</f>
        <v>Centre d'usinage</v>
      </c>
      <c r="C10" s="84">
        <f>IF($A10="","",SUMIF($C$91:$BV$91,1,$C94:$BV94))</f>
        <v>42.0</v>
      </c>
      <c r="D10" s="84">
        <f>IF($A10="","",SUMIF($C$91:$BV$91,2,$C94:$BV94))</f>
        <v>61.0</v>
      </c>
      <c r="E10" s="84">
        <f>IF($A10="","",SUMIF($C$91:$BV$91,3,$C94:$BV94))</f>
        <v>49.5</v>
      </c>
      <c r="F10" s="84">
        <f>IF($A10="","",SUMIF($C$91:$BV$91,4,$C94:$BV94))</f>
        <v>58.3333333333333</v>
      </c>
      <c r="G10" s="84">
        <f>IF($A10="","",SUMIF($C$91:$BV$91,5,$C94:$BV94))</f>
        <v>11.6666666666667</v>
      </c>
      <c r="H10" s="84">
        <f>IF($A10="","",SUMIF($C$91:$BV$91,6,$C94:$BV94))</f>
        <v>57.7</v>
      </c>
      <c r="I10" s="84">
        <f>IF($A10="","",SUMIF($C$91:$BV$91,7,$C94:$BV94))</f>
        <v>23.8</v>
      </c>
      <c r="J10" s="84">
        <f>IF($A10="","",SUMIF($C$91:$BV$91,8,$C94:$BV94))</f>
        <v>0.0</v>
      </c>
      <c r="K10" s="84">
        <f>IF($A10="","",SUMIF($C$91:$BV$91,9,$C94:$BV94))</f>
        <v>0.0</v>
      </c>
      <c r="L10" s="84">
        <f>IF($A10="","",SUMIF($C$91:$BV$91,10,$C94:$BV94))</f>
        <v>0.0</v>
      </c>
      <c r="M10" s="84">
        <f>IF($A10="","",SUMIF($C$91:$BV$91,11,$C94:$BV94))</f>
        <v>0.0</v>
      </c>
      <c r="N10" s="84">
        <f>IF($A10="","",SUMIF($C$91:$BV$91,12,$C94:$BV94))</f>
        <v>0.0</v>
      </c>
    </row>
    <row r="11">
      <c r="A11" s="82" t="str">
        <f>IF(INDEX(po_code,4)="","",INDEX(po_code,4))</f>
        <v>PLIE</v>
      </c>
      <c r="B11" s="83" t="str">
        <f>IF(A11="","",INDEX(po_name,4)&amp;"")</f>
        <v>Plieuse</v>
      </c>
      <c r="C11" s="84">
        <f>IF($A11="","",SUMIF($C$91:$BV$91,1,$C95:$BV95))</f>
        <v>25.9</v>
      </c>
      <c r="D11" s="84">
        <f>IF($A11="","",SUMIF($C$91:$BV$91,2,$C95:$BV95))</f>
        <v>31.0</v>
      </c>
      <c r="E11" s="84">
        <f>IF($A11="","",SUMIF($C$91:$BV$91,3,$C95:$BV95))</f>
        <v>25.8</v>
      </c>
      <c r="F11" s="84">
        <f>IF($A11="","",SUMIF($C$91:$BV$91,4,$C95:$BV95))</f>
        <v>34.0</v>
      </c>
      <c r="G11" s="84">
        <f>IF($A11="","",SUMIF($C$91:$BV$91,5,$C95:$BV95))</f>
        <v>28.6</v>
      </c>
      <c r="H11" s="84">
        <f>IF($A11="","",SUMIF($C$91:$BV$91,6,$C95:$BV95))</f>
        <v>5.5</v>
      </c>
      <c r="I11" s="84">
        <f>IF($A11="","",SUMIF($C$91:$BV$91,7,$C95:$BV95))</f>
        <v>0.0</v>
      </c>
      <c r="J11" s="84">
        <f>IF($A11="","",SUMIF($C$91:$BV$91,8,$C95:$BV95))</f>
        <v>0.0</v>
      </c>
      <c r="K11" s="84">
        <f>IF($A11="","",SUMIF($C$91:$BV$91,9,$C95:$BV95))</f>
        <v>0.0</v>
      </c>
      <c r="L11" s="84">
        <f>IF($A11="","",SUMIF($C$91:$BV$91,10,$C95:$BV95))</f>
        <v>0.0</v>
      </c>
      <c r="M11" s="84">
        <f>IF($A11="","",SUMIF($C$91:$BV$91,11,$C95:$BV95))</f>
        <v>0.0</v>
      </c>
      <c r="N11" s="84">
        <f>IF($A11="","",SUMIF($C$91:$BV$91,12,$C95:$BV95))</f>
        <v>0.0</v>
      </c>
    </row>
    <row r="12">
      <c r="A12" s="82" t="str">
        <f>IF(INDEX(po_code,5)="","",INDEX(po_code,5))</f>
        <v>SOUD</v>
      </c>
      <c r="B12" s="83" t="str">
        <f>IF(A12="","",INDEX(po_name,5)&amp;"")</f>
        <v>Soudure</v>
      </c>
      <c r="C12" s="84">
        <f>IF($A12="","",SUMIF($C$91:$BV$91,1,$C96:$BV96))</f>
        <v>22.3366666666667</v>
      </c>
      <c r="D12" s="84">
        <f>IF($A12="","",SUMIF($C$91:$BV$91,2,$C96:$BV96))</f>
        <v>31.5808333333333</v>
      </c>
      <c r="E12" s="84">
        <f>IF($A12="","",SUMIF($C$91:$BV$91,3,$C96:$BV96))</f>
        <v>25.6845</v>
      </c>
      <c r="F12" s="84">
        <f>IF($A12="","",SUMIF($C$91:$BV$91,4,$C96:$BV96))</f>
        <v>33.068</v>
      </c>
      <c r="G12" s="84">
        <f>IF($A12="","",SUMIF($C$91:$BV$91,5,$C96:$BV96))</f>
        <v>0.0</v>
      </c>
      <c r="H12" s="84">
        <f>IF($A12="","",SUMIF($C$91:$BV$91,6,$C96:$BV96))</f>
        <v>0.0</v>
      </c>
      <c r="I12" s="84">
        <f>IF($A12="","",SUMIF($C$91:$BV$91,7,$C96:$BV96))</f>
        <v>0.0</v>
      </c>
      <c r="J12" s="84">
        <f>IF($A12="","",SUMIF($C$91:$BV$91,8,$C96:$BV96))</f>
        <v>0.0</v>
      </c>
      <c r="K12" s="84">
        <f>IF($A12="","",SUMIF($C$91:$BV$91,9,$C96:$BV96))</f>
        <v>0.0</v>
      </c>
      <c r="L12" s="84">
        <f>IF($A12="","",SUMIF($C$91:$BV$91,10,$C96:$BV96))</f>
        <v>0.0</v>
      </c>
      <c r="M12" s="84">
        <f>IF($A12="","",SUMIF($C$91:$BV$91,11,$C96:$BV96))</f>
        <v>0.0</v>
      </c>
      <c r="N12" s="84">
        <f>IF($A12="","",SUMIF($C$91:$BV$91,12,$C96:$BV96))</f>
        <v>0.0</v>
      </c>
    </row>
    <row r="13">
      <c r="A13" s="82" t="str">
        <f>IF(INDEX(po_code,6)="","",INDEX(po_code,6))</f>
        <v>PEINT</v>
      </c>
      <c r="B13" s="83" t="str">
        <f>IF(A13="","",INDEX(po_name,6)&amp;"")</f>
        <v>Cabine de peinture</v>
      </c>
      <c r="C13" s="84">
        <f>IF($A13="","",SUMIF($C$91:$BV$91,1,$C97:$BV97))</f>
        <v>0.0</v>
      </c>
      <c r="D13" s="84">
        <f>IF($A13="","",SUMIF($C$91:$BV$91,2,$C97:$BV97))</f>
        <v>4.1</v>
      </c>
      <c r="E13" s="84">
        <f>IF($A13="","",SUMIF($C$91:$BV$91,3,$C97:$BV97))</f>
        <v>0.0</v>
      </c>
      <c r="F13" s="84">
        <f>IF($A13="","",SUMIF($C$91:$BV$91,4,$C97:$BV97))</f>
        <v>6.5</v>
      </c>
      <c r="G13" s="84">
        <f>IF($A13="","",SUMIF($C$91:$BV$91,5,$C97:$BV97))</f>
        <v>0.0</v>
      </c>
      <c r="H13" s="84">
        <f>IF($A13="","",SUMIF($C$91:$BV$91,6,$C97:$BV97))</f>
        <v>0.0</v>
      </c>
      <c r="I13" s="84">
        <f>IF($A13="","",SUMIF($C$91:$BV$91,7,$C97:$BV97))</f>
        <v>0.0</v>
      </c>
      <c r="J13" s="84">
        <f>IF($A13="","",SUMIF($C$91:$BV$91,8,$C97:$BV97))</f>
        <v>0.0</v>
      </c>
      <c r="K13" s="84">
        <f>IF($A13="","",SUMIF($C$91:$BV$91,9,$C97:$BV97))</f>
        <v>0.0</v>
      </c>
      <c r="L13" s="84">
        <f>IF($A13="","",SUMIF($C$91:$BV$91,10,$C97:$BV97))</f>
        <v>0.0</v>
      </c>
      <c r="M13" s="84">
        <f>IF($A13="","",SUMIF($C$91:$BV$91,11,$C97:$BV97))</f>
        <v>0.0</v>
      </c>
      <c r="N13" s="84">
        <f>IF($A13="","",SUMIF($C$91:$BV$91,12,$C97:$BV97))</f>
        <v>0.0</v>
      </c>
    </row>
    <row r="14">
      <c r="A14" s="82" t="str">
        <f>IF(INDEX(po_code,7)="","",INDEX(po_code,7))</f>
        <v>MONT</v>
      </c>
      <c r="B14" s="83" t="str">
        <f>IF(A14="","",INDEX(po_name,7)&amp;"")</f>
        <v>Montage</v>
      </c>
      <c r="C14" s="84">
        <f>IF($A14="","",SUMIF($C$91:$BV$91,1,$C98:$BV98))</f>
        <v>28.24</v>
      </c>
      <c r="D14" s="84">
        <f>IF($A14="","",SUMIF($C$91:$BV$91,2,$C98:$BV98))</f>
        <v>33.9</v>
      </c>
      <c r="E14" s="84">
        <f>IF($A14="","",SUMIF($C$91:$BV$91,3,$C98:$BV98))</f>
        <v>27.205</v>
      </c>
      <c r="F14" s="84">
        <f>IF($A14="","",SUMIF($C$91:$BV$91,4,$C98:$BV98))</f>
        <v>21.225</v>
      </c>
      <c r="G14" s="84">
        <f>IF($A14="","",SUMIF($C$91:$BV$91,5,$C98:$BV98))</f>
        <v>0.0</v>
      </c>
      <c r="H14" s="84">
        <f>IF($A14="","",SUMIF($C$91:$BV$91,6,$C98:$BV98))</f>
        <v>0.0</v>
      </c>
      <c r="I14" s="84">
        <f>IF($A14="","",SUMIF($C$91:$BV$91,7,$C98:$BV98))</f>
        <v>0.0</v>
      </c>
      <c r="J14" s="84">
        <f>IF($A14="","",SUMIF($C$91:$BV$91,8,$C98:$BV98))</f>
        <v>0.0</v>
      </c>
      <c r="K14" s="84">
        <f>IF($A14="","",SUMIF($C$91:$BV$91,9,$C98:$BV98))</f>
        <v>0.0</v>
      </c>
      <c r="L14" s="84">
        <f>IF($A14="","",SUMIF($C$91:$BV$91,10,$C98:$BV98))</f>
        <v>0.0</v>
      </c>
      <c r="M14" s="84">
        <f>IF($A14="","",SUMIF($C$91:$BV$91,11,$C98:$BV98))</f>
        <v>0.0</v>
      </c>
      <c r="N14" s="84">
        <f>IF($A14="","",SUMIF($C$91:$BV$91,12,$C98:$BV98))</f>
        <v>0.0</v>
      </c>
    </row>
    <row r="15">
      <c r="A15" s="82" t="str">
        <f>IF(INDEX(po_code,8)="","",INDEX(po_code,8))</f>
        <v/>
      </c>
      <c r="B15" s="83" t="str">
        <f>IF(A15="","",INDEX(po_name,8)&amp;"")</f>
        <v/>
      </c>
      <c r="C15" s="84" t="str">
        <f>IF($A15="","",SUMIF($C$91:$BV$91,1,$C99:$BV99))</f>
        <v/>
      </c>
      <c r="D15" s="84" t="str">
        <f>IF($A15="","",SUMIF($C$91:$BV$91,2,$C99:$BV99))</f>
        <v/>
      </c>
      <c r="E15" s="84" t="str">
        <f>IF($A15="","",SUMIF($C$91:$BV$91,3,$C99:$BV99))</f>
        <v/>
      </c>
      <c r="F15" s="84" t="str">
        <f>IF($A15="","",SUMIF($C$91:$BV$91,4,$C99:$BV99))</f>
        <v/>
      </c>
      <c r="G15" s="84" t="str">
        <f>IF($A15="","",SUMIF($C$91:$BV$91,5,$C99:$BV99))</f>
        <v/>
      </c>
      <c r="H15" s="84" t="str">
        <f>IF($A15="","",SUMIF($C$91:$BV$91,6,$C99:$BV99))</f>
        <v/>
      </c>
      <c r="I15" s="84" t="str">
        <f>IF($A15="","",SUMIF($C$91:$BV$91,7,$C99:$BV99))</f>
        <v/>
      </c>
      <c r="J15" s="84" t="str">
        <f>IF($A15="","",SUMIF($C$91:$BV$91,8,$C99:$BV99))</f>
        <v/>
      </c>
      <c r="K15" s="84" t="str">
        <f>IF($A15="","",SUMIF($C$91:$BV$91,9,$C99:$BV99))</f>
        <v/>
      </c>
      <c r="L15" s="84" t="str">
        <f>IF($A15="","",SUMIF($C$91:$BV$91,10,$C99:$BV99))</f>
        <v/>
      </c>
      <c r="M15" s="84" t="str">
        <f>IF($A15="","",SUMIF($C$91:$BV$91,11,$C99:$BV99))</f>
        <v/>
      </c>
      <c r="N15" s="84" t="str">
        <f>IF($A15="","",SUMIF($C$91:$BV$91,12,$C99:$BV99))</f>
        <v/>
      </c>
    </row>
    <row r="16">
      <c r="A16" s="82" t="str">
        <f>IF(INDEX(po_code,9)="","",INDEX(po_code,9))</f>
        <v/>
      </c>
      <c r="B16" s="83" t="str">
        <f>IF(A16="","",INDEX(po_name,9)&amp;"")</f>
        <v/>
      </c>
      <c r="C16" s="84" t="str">
        <f>IF($A16="","",SUMIF($C$91:$BV$91,1,$C100:$BV100))</f>
        <v/>
      </c>
      <c r="D16" s="84" t="str">
        <f>IF($A16="","",SUMIF($C$91:$BV$91,2,$C100:$BV100))</f>
        <v/>
      </c>
      <c r="E16" s="84" t="str">
        <f>IF($A16="","",SUMIF($C$91:$BV$91,3,$C100:$BV100))</f>
        <v/>
      </c>
      <c r="F16" s="84" t="str">
        <f>IF($A16="","",SUMIF($C$91:$BV$91,4,$C100:$BV100))</f>
        <v/>
      </c>
      <c r="G16" s="84" t="str">
        <f>IF($A16="","",SUMIF($C$91:$BV$91,5,$C100:$BV100))</f>
        <v/>
      </c>
      <c r="H16" s="84" t="str">
        <f>IF($A16="","",SUMIF($C$91:$BV$91,6,$C100:$BV100))</f>
        <v/>
      </c>
      <c r="I16" s="84" t="str">
        <f>IF($A16="","",SUMIF($C$91:$BV$91,7,$C100:$BV100))</f>
        <v/>
      </c>
      <c r="J16" s="84" t="str">
        <f>IF($A16="","",SUMIF($C$91:$BV$91,8,$C100:$BV100))</f>
        <v/>
      </c>
      <c r="K16" s="84" t="str">
        <f>IF($A16="","",SUMIF($C$91:$BV$91,9,$C100:$BV100))</f>
        <v/>
      </c>
      <c r="L16" s="84" t="str">
        <f>IF($A16="","",SUMIF($C$91:$BV$91,10,$C100:$BV100))</f>
        <v/>
      </c>
      <c r="M16" s="84" t="str">
        <f>IF($A16="","",SUMIF($C$91:$BV$91,11,$C100:$BV100))</f>
        <v/>
      </c>
      <c r="N16" s="84" t="str">
        <f>IF($A16="","",SUMIF($C$91:$BV$91,12,$C100:$BV100))</f>
        <v/>
      </c>
    </row>
    <row r="17">
      <c r="A17" s="82" t="str">
        <f>IF(INDEX(po_code,10)="","",INDEX(po_code,10))</f>
        <v/>
      </c>
      <c r="B17" s="83" t="str">
        <f>IF(A17="","",INDEX(po_name,10)&amp;"")</f>
        <v/>
      </c>
      <c r="C17" s="84" t="str">
        <f>IF($A17="","",SUMIF($C$91:$BV$91,1,$C101:$BV101))</f>
        <v/>
      </c>
      <c r="D17" s="84" t="str">
        <f>IF($A17="","",SUMIF($C$91:$BV$91,2,$C101:$BV101))</f>
        <v/>
      </c>
      <c r="E17" s="84" t="str">
        <f>IF($A17="","",SUMIF($C$91:$BV$91,3,$C101:$BV101))</f>
        <v/>
      </c>
      <c r="F17" s="84" t="str">
        <f>IF($A17="","",SUMIF($C$91:$BV$91,4,$C101:$BV101))</f>
        <v/>
      </c>
      <c r="G17" s="84" t="str">
        <f>IF($A17="","",SUMIF($C$91:$BV$91,5,$C101:$BV101))</f>
        <v/>
      </c>
      <c r="H17" s="84" t="str">
        <f>IF($A17="","",SUMIF($C$91:$BV$91,6,$C101:$BV101))</f>
        <v/>
      </c>
      <c r="I17" s="84" t="str">
        <f>IF($A17="","",SUMIF($C$91:$BV$91,7,$C101:$BV101))</f>
        <v/>
      </c>
      <c r="J17" s="84" t="str">
        <f>IF($A17="","",SUMIF($C$91:$BV$91,8,$C101:$BV101))</f>
        <v/>
      </c>
      <c r="K17" s="84" t="str">
        <f>IF($A17="","",SUMIF($C$91:$BV$91,9,$C101:$BV101))</f>
        <v/>
      </c>
      <c r="L17" s="84" t="str">
        <f>IF($A17="","",SUMIF($C$91:$BV$91,10,$C101:$BV101))</f>
        <v/>
      </c>
      <c r="M17" s="84" t="str">
        <f>IF($A17="","",SUMIF($C$91:$BV$91,11,$C101:$BV101))</f>
        <v/>
      </c>
      <c r="N17" s="84" t="str">
        <f>IF($A17="","",SUMIF($C$91:$BV$91,12,$C101:$BV101))</f>
        <v/>
      </c>
    </row>
    <row r="18">
      <c r="A18" s="82" t="str">
        <f>IF(INDEX(po_code,11)="","",INDEX(po_code,11))</f>
        <v/>
      </c>
      <c r="B18" s="83" t="str">
        <f>IF(A18="","",INDEX(po_name,11)&amp;"")</f>
        <v/>
      </c>
      <c r="C18" s="84" t="str">
        <f>IF($A18="","",SUMIF($C$91:$BV$91,1,$C102:$BV102))</f>
        <v/>
      </c>
      <c r="D18" s="84" t="str">
        <f>IF($A18="","",SUMIF($C$91:$BV$91,2,$C102:$BV102))</f>
        <v/>
      </c>
      <c r="E18" s="84" t="str">
        <f>IF($A18="","",SUMIF($C$91:$BV$91,3,$C102:$BV102))</f>
        <v/>
      </c>
      <c r="F18" s="84" t="str">
        <f>IF($A18="","",SUMIF($C$91:$BV$91,4,$C102:$BV102))</f>
        <v/>
      </c>
      <c r="G18" s="84" t="str">
        <f>IF($A18="","",SUMIF($C$91:$BV$91,5,$C102:$BV102))</f>
        <v/>
      </c>
      <c r="H18" s="84" t="str">
        <f>IF($A18="","",SUMIF($C$91:$BV$91,6,$C102:$BV102))</f>
        <v/>
      </c>
      <c r="I18" s="84" t="str">
        <f>IF($A18="","",SUMIF($C$91:$BV$91,7,$C102:$BV102))</f>
        <v/>
      </c>
      <c r="J18" s="84" t="str">
        <f>IF($A18="","",SUMIF($C$91:$BV$91,8,$C102:$BV102))</f>
        <v/>
      </c>
      <c r="K18" s="84" t="str">
        <f>IF($A18="","",SUMIF($C$91:$BV$91,9,$C102:$BV102))</f>
        <v/>
      </c>
      <c r="L18" s="84" t="str">
        <f>IF($A18="","",SUMIF($C$91:$BV$91,10,$C102:$BV102))</f>
        <v/>
      </c>
      <c r="M18" s="84" t="str">
        <f>IF($A18="","",SUMIF($C$91:$BV$91,11,$C102:$BV102))</f>
        <v/>
      </c>
      <c r="N18" s="84" t="str">
        <f>IF($A18="","",SUMIF($C$91:$BV$91,12,$C102:$BV102))</f>
        <v/>
      </c>
    </row>
    <row r="19">
      <c r="A19" s="82" t="str">
        <f>IF(INDEX(po_code,12)="","",INDEX(po_code,12))</f>
        <v/>
      </c>
      <c r="B19" s="83" t="str">
        <f>IF(A19="","",INDEX(po_name,12)&amp;"")</f>
        <v/>
      </c>
      <c r="C19" s="84" t="str">
        <f>IF($A19="","",SUMIF($C$91:$BV$91,1,$C103:$BV103))</f>
        <v/>
      </c>
      <c r="D19" s="84" t="str">
        <f>IF($A19="","",SUMIF($C$91:$BV$91,2,$C103:$BV103))</f>
        <v/>
      </c>
      <c r="E19" s="84" t="str">
        <f>IF($A19="","",SUMIF($C$91:$BV$91,3,$C103:$BV103))</f>
        <v/>
      </c>
      <c r="F19" s="84" t="str">
        <f>IF($A19="","",SUMIF($C$91:$BV$91,4,$C103:$BV103))</f>
        <v/>
      </c>
      <c r="G19" s="84" t="str">
        <f>IF($A19="","",SUMIF($C$91:$BV$91,5,$C103:$BV103))</f>
        <v/>
      </c>
      <c r="H19" s="84" t="str">
        <f>IF($A19="","",SUMIF($C$91:$BV$91,6,$C103:$BV103))</f>
        <v/>
      </c>
      <c r="I19" s="84" t="str">
        <f>IF($A19="","",SUMIF($C$91:$BV$91,7,$C103:$BV103))</f>
        <v/>
      </c>
      <c r="J19" s="84" t="str">
        <f>IF($A19="","",SUMIF($C$91:$BV$91,8,$C103:$BV103))</f>
        <v/>
      </c>
      <c r="K19" s="84" t="str">
        <f>IF($A19="","",SUMIF($C$91:$BV$91,9,$C103:$BV103))</f>
        <v/>
      </c>
      <c r="L19" s="84" t="str">
        <f>IF($A19="","",SUMIF($C$91:$BV$91,10,$C103:$BV103))</f>
        <v/>
      </c>
      <c r="M19" s="84" t="str">
        <f>IF($A19="","",SUMIF($C$91:$BV$91,11,$C103:$BV103))</f>
        <v/>
      </c>
      <c r="N19" s="84" t="str">
        <f>IF($A19="","",SUMIF($C$91:$BV$91,12,$C103:$BV103))</f>
        <v/>
      </c>
    </row>
    <row r="20">
      <c r="A20" s="82" t="str">
        <f>IF(INDEX(po_code,13)="","",INDEX(po_code,13))</f>
        <v/>
      </c>
      <c r="B20" s="83" t="str">
        <f>IF(A20="","",INDEX(po_name,13)&amp;"")</f>
        <v/>
      </c>
      <c r="C20" s="84" t="str">
        <f>IF($A20="","",SUMIF($C$91:$BV$91,1,$C104:$BV104))</f>
        <v/>
      </c>
      <c r="D20" s="84" t="str">
        <f>IF($A20="","",SUMIF($C$91:$BV$91,2,$C104:$BV104))</f>
        <v/>
      </c>
      <c r="E20" s="84" t="str">
        <f>IF($A20="","",SUMIF($C$91:$BV$91,3,$C104:$BV104))</f>
        <v/>
      </c>
      <c r="F20" s="84" t="str">
        <f>IF($A20="","",SUMIF($C$91:$BV$91,4,$C104:$BV104))</f>
        <v/>
      </c>
      <c r="G20" s="84" t="str">
        <f>IF($A20="","",SUMIF($C$91:$BV$91,5,$C104:$BV104))</f>
        <v/>
      </c>
      <c r="H20" s="84" t="str">
        <f>IF($A20="","",SUMIF($C$91:$BV$91,6,$C104:$BV104))</f>
        <v/>
      </c>
      <c r="I20" s="84" t="str">
        <f>IF($A20="","",SUMIF($C$91:$BV$91,7,$C104:$BV104))</f>
        <v/>
      </c>
      <c r="J20" s="84" t="str">
        <f>IF($A20="","",SUMIF($C$91:$BV$91,8,$C104:$BV104))</f>
        <v/>
      </c>
      <c r="K20" s="84" t="str">
        <f>IF($A20="","",SUMIF($C$91:$BV$91,9,$C104:$BV104))</f>
        <v/>
      </c>
      <c r="L20" s="84" t="str">
        <f>IF($A20="","",SUMIF($C$91:$BV$91,10,$C104:$BV104))</f>
        <v/>
      </c>
      <c r="M20" s="84" t="str">
        <f>IF($A20="","",SUMIF($C$91:$BV$91,11,$C104:$BV104))</f>
        <v/>
      </c>
      <c r="N20" s="84" t="str">
        <f>IF($A20="","",SUMIF($C$91:$BV$91,12,$C104:$BV104))</f>
        <v/>
      </c>
    </row>
    <row r="21">
      <c r="A21" s="82" t="str">
        <f>IF(INDEX(po_code,14)="","",INDEX(po_code,14))</f>
        <v/>
      </c>
      <c r="B21" s="83" t="str">
        <f>IF(A21="","",INDEX(po_name,14)&amp;"")</f>
        <v/>
      </c>
      <c r="C21" s="84" t="str">
        <f>IF($A21="","",SUMIF($C$91:$BV$91,1,$C105:$BV105))</f>
        <v/>
      </c>
      <c r="D21" s="84" t="str">
        <f>IF($A21="","",SUMIF($C$91:$BV$91,2,$C105:$BV105))</f>
        <v/>
      </c>
      <c r="E21" s="84" t="str">
        <f>IF($A21="","",SUMIF($C$91:$BV$91,3,$C105:$BV105))</f>
        <v/>
      </c>
      <c r="F21" s="84" t="str">
        <f>IF($A21="","",SUMIF($C$91:$BV$91,4,$C105:$BV105))</f>
        <v/>
      </c>
      <c r="G21" s="84" t="str">
        <f>IF($A21="","",SUMIF($C$91:$BV$91,5,$C105:$BV105))</f>
        <v/>
      </c>
      <c r="H21" s="84" t="str">
        <f>IF($A21="","",SUMIF($C$91:$BV$91,6,$C105:$BV105))</f>
        <v/>
      </c>
      <c r="I21" s="84" t="str">
        <f>IF($A21="","",SUMIF($C$91:$BV$91,7,$C105:$BV105))</f>
        <v/>
      </c>
      <c r="J21" s="84" t="str">
        <f>IF($A21="","",SUMIF($C$91:$BV$91,8,$C105:$BV105))</f>
        <v/>
      </c>
      <c r="K21" s="84" t="str">
        <f>IF($A21="","",SUMIF($C$91:$BV$91,9,$C105:$BV105))</f>
        <v/>
      </c>
      <c r="L21" s="84" t="str">
        <f>IF($A21="","",SUMIF($C$91:$BV$91,10,$C105:$BV105))</f>
        <v/>
      </c>
      <c r="M21" s="84" t="str">
        <f>IF($A21="","",SUMIF($C$91:$BV$91,11,$C105:$BV105))</f>
        <v/>
      </c>
      <c r="N21" s="84" t="str">
        <f>IF($A21="","",SUMIF($C$91:$BV$91,12,$C105:$BV105))</f>
        <v/>
      </c>
    </row>
    <row r="22">
      <c r="A22" s="82" t="str">
        <f>IF(INDEX(po_code,15)="","",INDEX(po_code,15))</f>
        <v/>
      </c>
      <c r="B22" s="83" t="str">
        <f>IF(A22="","",INDEX(po_name,15)&amp;"")</f>
        <v/>
      </c>
      <c r="C22" s="84" t="str">
        <f>IF($A22="","",SUMIF($C$91:$BV$91,1,$C106:$BV106))</f>
        <v/>
      </c>
      <c r="D22" s="84" t="str">
        <f>IF($A22="","",SUMIF($C$91:$BV$91,2,$C106:$BV106))</f>
        <v/>
      </c>
      <c r="E22" s="84" t="str">
        <f>IF($A22="","",SUMIF($C$91:$BV$91,3,$C106:$BV106))</f>
        <v/>
      </c>
      <c r="F22" s="84" t="str">
        <f>IF($A22="","",SUMIF($C$91:$BV$91,4,$C106:$BV106))</f>
        <v/>
      </c>
      <c r="G22" s="84" t="str">
        <f>IF($A22="","",SUMIF($C$91:$BV$91,5,$C106:$BV106))</f>
        <v/>
      </c>
      <c r="H22" s="84" t="str">
        <f>IF($A22="","",SUMIF($C$91:$BV$91,6,$C106:$BV106))</f>
        <v/>
      </c>
      <c r="I22" s="84" t="str">
        <f>IF($A22="","",SUMIF($C$91:$BV$91,7,$C106:$BV106))</f>
        <v/>
      </c>
      <c r="J22" s="84" t="str">
        <f>IF($A22="","",SUMIF($C$91:$BV$91,8,$C106:$BV106))</f>
        <v/>
      </c>
      <c r="K22" s="84" t="str">
        <f>IF($A22="","",SUMIF($C$91:$BV$91,9,$C106:$BV106))</f>
        <v/>
      </c>
      <c r="L22" s="84" t="str">
        <f>IF($A22="","",SUMIF($C$91:$BV$91,10,$C106:$BV106))</f>
        <v/>
      </c>
      <c r="M22" s="84" t="str">
        <f>IF($A22="","",SUMIF($C$91:$BV$91,11,$C106:$BV106))</f>
        <v/>
      </c>
      <c r="N22" s="84" t="str">
        <f>IF($A22="","",SUMIF($C$91:$BV$91,12,$C106:$BV106))</f>
        <v/>
      </c>
    </row>
    <row r="23">
      <c r="A23" s="82" t="str">
        <f>IF(INDEX(po_code,16)="","",INDEX(po_code,16))</f>
        <v/>
      </c>
      <c r="B23" s="83" t="str">
        <f>IF(A23="","",INDEX(po_name,16)&amp;"")</f>
        <v/>
      </c>
      <c r="C23" s="84" t="str">
        <f>IF($A23="","",SUMIF($C$91:$BV$91,1,$C107:$BV107))</f>
        <v/>
      </c>
      <c r="D23" s="84" t="str">
        <f>IF($A23="","",SUMIF($C$91:$BV$91,2,$C107:$BV107))</f>
        <v/>
      </c>
      <c r="E23" s="84" t="str">
        <f>IF($A23="","",SUMIF($C$91:$BV$91,3,$C107:$BV107))</f>
        <v/>
      </c>
      <c r="F23" s="84" t="str">
        <f>IF($A23="","",SUMIF($C$91:$BV$91,4,$C107:$BV107))</f>
        <v/>
      </c>
      <c r="G23" s="84" t="str">
        <f>IF($A23="","",SUMIF($C$91:$BV$91,5,$C107:$BV107))</f>
        <v/>
      </c>
      <c r="H23" s="84" t="str">
        <f>IF($A23="","",SUMIF($C$91:$BV$91,6,$C107:$BV107))</f>
        <v/>
      </c>
      <c r="I23" s="84" t="str">
        <f>IF($A23="","",SUMIF($C$91:$BV$91,7,$C107:$BV107))</f>
        <v/>
      </c>
      <c r="J23" s="84" t="str">
        <f>IF($A23="","",SUMIF($C$91:$BV$91,8,$C107:$BV107))</f>
        <v/>
      </c>
      <c r="K23" s="84" t="str">
        <f>IF($A23="","",SUMIF($C$91:$BV$91,9,$C107:$BV107))</f>
        <v/>
      </c>
      <c r="L23" s="84" t="str">
        <f>IF($A23="","",SUMIF($C$91:$BV$91,10,$C107:$BV107))</f>
        <v/>
      </c>
      <c r="M23" s="84" t="str">
        <f>IF($A23="","",SUMIF($C$91:$BV$91,11,$C107:$BV107))</f>
        <v/>
      </c>
      <c r="N23" s="84" t="str">
        <f>IF($A23="","",SUMIF($C$91:$BV$91,12,$C107:$BV107))</f>
        <v/>
      </c>
    </row>
    <row r="24">
      <c r="A24" s="82" t="str">
        <f>IF(INDEX(po_code,17)="","",INDEX(po_code,17))</f>
        <v/>
      </c>
      <c r="B24" s="83" t="str">
        <f>IF(A24="","",INDEX(po_name,17)&amp;"")</f>
        <v/>
      </c>
      <c r="C24" s="84" t="str">
        <f>IF($A24="","",SUMIF($C$91:$BV$91,1,$C108:$BV108))</f>
        <v/>
      </c>
      <c r="D24" s="84" t="str">
        <f>IF($A24="","",SUMIF($C$91:$BV$91,2,$C108:$BV108))</f>
        <v/>
      </c>
      <c r="E24" s="84" t="str">
        <f>IF($A24="","",SUMIF($C$91:$BV$91,3,$C108:$BV108))</f>
        <v/>
      </c>
      <c r="F24" s="84" t="str">
        <f>IF($A24="","",SUMIF($C$91:$BV$91,4,$C108:$BV108))</f>
        <v/>
      </c>
      <c r="G24" s="84" t="str">
        <f>IF($A24="","",SUMIF($C$91:$BV$91,5,$C108:$BV108))</f>
        <v/>
      </c>
      <c r="H24" s="84" t="str">
        <f>IF($A24="","",SUMIF($C$91:$BV$91,6,$C108:$BV108))</f>
        <v/>
      </c>
      <c r="I24" s="84" t="str">
        <f>IF($A24="","",SUMIF($C$91:$BV$91,7,$C108:$BV108))</f>
        <v/>
      </c>
      <c r="J24" s="84" t="str">
        <f>IF($A24="","",SUMIF($C$91:$BV$91,8,$C108:$BV108))</f>
        <v/>
      </c>
      <c r="K24" s="84" t="str">
        <f>IF($A24="","",SUMIF($C$91:$BV$91,9,$C108:$BV108))</f>
        <v/>
      </c>
      <c r="L24" s="84" t="str">
        <f>IF($A24="","",SUMIF($C$91:$BV$91,10,$C108:$BV108))</f>
        <v/>
      </c>
      <c r="M24" s="84" t="str">
        <f>IF($A24="","",SUMIF($C$91:$BV$91,11,$C108:$BV108))</f>
        <v/>
      </c>
      <c r="N24" s="84" t="str">
        <f>IF($A24="","",SUMIF($C$91:$BV$91,12,$C108:$BV108))</f>
        <v/>
      </c>
    </row>
    <row r="25">
      <c r="A25" s="82" t="str">
        <f>IF(INDEX(po_code,18)="","",INDEX(po_code,18))</f>
        <v/>
      </c>
      <c r="B25" s="83" t="str">
        <f>IF(A25="","",INDEX(po_name,18)&amp;"")</f>
        <v/>
      </c>
      <c r="C25" s="84" t="str">
        <f>IF($A25="","",SUMIF($C$91:$BV$91,1,$C109:$BV109))</f>
        <v/>
      </c>
      <c r="D25" s="84" t="str">
        <f>IF($A25="","",SUMIF($C$91:$BV$91,2,$C109:$BV109))</f>
        <v/>
      </c>
      <c r="E25" s="84" t="str">
        <f>IF($A25="","",SUMIF($C$91:$BV$91,3,$C109:$BV109))</f>
        <v/>
      </c>
      <c r="F25" s="84" t="str">
        <f>IF($A25="","",SUMIF($C$91:$BV$91,4,$C109:$BV109))</f>
        <v/>
      </c>
      <c r="G25" s="84" t="str">
        <f>IF($A25="","",SUMIF($C$91:$BV$91,5,$C109:$BV109))</f>
        <v/>
      </c>
      <c r="H25" s="84" t="str">
        <f>IF($A25="","",SUMIF($C$91:$BV$91,6,$C109:$BV109))</f>
        <v/>
      </c>
      <c r="I25" s="84" t="str">
        <f>IF($A25="","",SUMIF($C$91:$BV$91,7,$C109:$BV109))</f>
        <v/>
      </c>
      <c r="J25" s="84" t="str">
        <f>IF($A25="","",SUMIF($C$91:$BV$91,8,$C109:$BV109))</f>
        <v/>
      </c>
      <c r="K25" s="84" t="str">
        <f>IF($A25="","",SUMIF($C$91:$BV$91,9,$C109:$BV109))</f>
        <v/>
      </c>
      <c r="L25" s="84" t="str">
        <f>IF($A25="","",SUMIF($C$91:$BV$91,10,$C109:$BV109))</f>
        <v/>
      </c>
      <c r="M25" s="84" t="str">
        <f>IF($A25="","",SUMIF($C$91:$BV$91,11,$C109:$BV109))</f>
        <v/>
      </c>
      <c r="N25" s="84" t="str">
        <f>IF($A25="","",SUMIF($C$91:$BV$91,12,$C109:$BV109))</f>
        <v/>
      </c>
    </row>
    <row r="26">
      <c r="A26" s="82" t="str">
        <f>IF(INDEX(po_code,19)="","",INDEX(po_code,19))</f>
        <v/>
      </c>
      <c r="B26" s="83" t="str">
        <f>IF(A26="","",INDEX(po_name,19)&amp;"")</f>
        <v/>
      </c>
      <c r="C26" s="84" t="str">
        <f>IF($A26="","",SUMIF($C$91:$BV$91,1,$C110:$BV110))</f>
        <v/>
      </c>
      <c r="D26" s="84" t="str">
        <f>IF($A26="","",SUMIF($C$91:$BV$91,2,$C110:$BV110))</f>
        <v/>
      </c>
      <c r="E26" s="84" t="str">
        <f>IF($A26="","",SUMIF($C$91:$BV$91,3,$C110:$BV110))</f>
        <v/>
      </c>
      <c r="F26" s="84" t="str">
        <f>IF($A26="","",SUMIF($C$91:$BV$91,4,$C110:$BV110))</f>
        <v/>
      </c>
      <c r="G26" s="84" t="str">
        <f>IF($A26="","",SUMIF($C$91:$BV$91,5,$C110:$BV110))</f>
        <v/>
      </c>
      <c r="H26" s="84" t="str">
        <f>IF($A26="","",SUMIF($C$91:$BV$91,6,$C110:$BV110))</f>
        <v/>
      </c>
      <c r="I26" s="84" t="str">
        <f>IF($A26="","",SUMIF($C$91:$BV$91,7,$C110:$BV110))</f>
        <v/>
      </c>
      <c r="J26" s="84" t="str">
        <f>IF($A26="","",SUMIF($C$91:$BV$91,8,$C110:$BV110))</f>
        <v/>
      </c>
      <c r="K26" s="84" t="str">
        <f>IF($A26="","",SUMIF($C$91:$BV$91,9,$C110:$BV110))</f>
        <v/>
      </c>
      <c r="L26" s="84" t="str">
        <f>IF($A26="","",SUMIF($C$91:$BV$91,10,$C110:$BV110))</f>
        <v/>
      </c>
      <c r="M26" s="84" t="str">
        <f>IF($A26="","",SUMIF($C$91:$BV$91,11,$C110:$BV110))</f>
        <v/>
      </c>
      <c r="N26" s="84" t="str">
        <f>IF($A26="","",SUMIF($C$91:$BV$91,12,$C110:$BV110))</f>
        <v/>
      </c>
    </row>
    <row r="27">
      <c r="A27" s="82" t="str">
        <f>IF(INDEX(po_code,20)="","",INDEX(po_code,20))</f>
        <v/>
      </c>
      <c r="B27" s="83" t="str">
        <f>IF(A27="","",INDEX(po_name,20)&amp;"")</f>
        <v/>
      </c>
      <c r="C27" s="84" t="str">
        <f>IF($A27="","",SUMIF($C$91:$BV$91,1,$C111:$BV111))</f>
        <v/>
      </c>
      <c r="D27" s="84" t="str">
        <f>IF($A27="","",SUMIF($C$91:$BV$91,2,$C111:$BV111))</f>
        <v/>
      </c>
      <c r="E27" s="84" t="str">
        <f>IF($A27="","",SUMIF($C$91:$BV$91,3,$C111:$BV111))</f>
        <v/>
      </c>
      <c r="F27" s="84" t="str">
        <f>IF($A27="","",SUMIF($C$91:$BV$91,4,$C111:$BV111))</f>
        <v/>
      </c>
      <c r="G27" s="84" t="str">
        <f>IF($A27="","",SUMIF($C$91:$BV$91,5,$C111:$BV111))</f>
        <v/>
      </c>
      <c r="H27" s="84" t="str">
        <f>IF($A27="","",SUMIF($C$91:$BV$91,6,$C111:$BV111))</f>
        <v/>
      </c>
      <c r="I27" s="84" t="str">
        <f>IF($A27="","",SUMIF($C$91:$BV$91,7,$C111:$BV111))</f>
        <v/>
      </c>
      <c r="J27" s="84" t="str">
        <f>IF($A27="","",SUMIF($C$91:$BV$91,8,$C111:$BV111))</f>
        <v/>
      </c>
      <c r="K27" s="84" t="str">
        <f>IF($A27="","",SUMIF($C$91:$BV$91,9,$C111:$BV111))</f>
        <v/>
      </c>
      <c r="L27" s="84" t="str">
        <f>IF($A27="","",SUMIF($C$91:$BV$91,10,$C111:$BV111))</f>
        <v/>
      </c>
      <c r="M27" s="84" t="str">
        <f>IF($A27="","",SUMIF($C$91:$BV$91,11,$C111:$BV111))</f>
        <v/>
      </c>
      <c r="N27" s="84" t="str">
        <f>IF($A27="","",SUMIF($C$91:$BV$91,12,$C111:$BV111))</f>
        <v/>
      </c>
    </row>
    <row r="28">
      <c r="A28" s="79" t="n"/>
      <c r="B28" s="85" t="inlineStr">
        <is>
          <t>Total atelier</t>
        </is>
      </c>
      <c r="C28" s="86">
        <f>SUM(C8:C27)</f>
        <v>191.685</v>
      </c>
      <c r="D28" s="86">
        <f>SUM(D8:D27)</f>
        <v>238.5225</v>
      </c>
      <c r="E28" s="86">
        <f>SUM(E8:E27)</f>
        <v>171.9395</v>
      </c>
      <c r="F28" s="86">
        <f>SUM(F8:F27)</f>
        <v>209.626333333333</v>
      </c>
      <c r="G28" s="86">
        <f>SUM(G8:G27)</f>
        <v>78.2666666666667</v>
      </c>
      <c r="H28" s="86">
        <f>SUM(H8:H27)</f>
        <v>63.2</v>
      </c>
      <c r="I28" s="86">
        <f>SUM(I8:I27)</f>
        <v>23.8</v>
      </c>
      <c r="J28" s="86">
        <f>SUM(J8:J27)</f>
        <v>0.0</v>
      </c>
      <c r="K28" s="86">
        <f>SUM(K8:K27)</f>
        <v>0.0</v>
      </c>
      <c r="L28" s="86">
        <f>SUM(L8:L27)</f>
        <v>0.0</v>
      </c>
      <c r="M28" s="86">
        <f>SUM(M8:M27)</f>
        <v>0.0</v>
      </c>
      <c r="N28" s="86">
        <f>SUM(N8:N27)</f>
        <v>0.0</v>
      </c>
    </row>
    <row r="31" ht="22" customHeight="1">
      <c r="A31" s="5" t="inlineStr">
        <is>
          <t>Capacité (heures)</t>
        </is>
      </c>
      <c r="B31" s="6" t="n"/>
      <c r="C31" s="6" t="n"/>
      <c r="D31" s="6" t="n"/>
      <c r="E31" s="6" t="n"/>
      <c r="F31" s="6" t="n"/>
      <c r="G31" s="6" t="n"/>
      <c r="H31" s="6" t="n"/>
      <c r="I31" s="6" t="n"/>
      <c r="J31" s="6" t="n"/>
      <c r="K31" s="6" t="n"/>
      <c r="L31" s="6" t="n"/>
      <c r="M31" s="6" t="n"/>
      <c r="N31" s="6" t="n"/>
    </row>
    <row r="32" ht="20" customHeight="1">
      <c r="A32" s="42" t="inlineStr">
        <is>
          <t>Poste</t>
        </is>
      </c>
      <c r="B32" s="42" t="inlineStr">
        <is>
          <t>Nom</t>
        </is>
      </c>
      <c r="C32" s="42" t="str">
        <f>"S"&amp;WEEKNUM(p_monday+0,21)</f>
        <v>S45</v>
      </c>
      <c r="D32" s="42" t="str">
        <f>"S"&amp;WEEKNUM(p_monday+7,21)</f>
        <v>S46</v>
      </c>
      <c r="E32" s="42" t="str">
        <f>"S"&amp;WEEKNUM(p_monday+14,21)</f>
        <v>S47</v>
      </c>
      <c r="F32" s="42" t="str">
        <f>"S"&amp;WEEKNUM(p_monday+21,21)</f>
        <v>S48</v>
      </c>
      <c r="G32" s="42" t="str">
        <f>"S"&amp;WEEKNUM(p_monday+28,21)</f>
        <v>S49</v>
      </c>
      <c r="H32" s="42" t="str">
        <f>"S"&amp;WEEKNUM(p_monday+35,21)</f>
        <v>S50</v>
      </c>
      <c r="I32" s="42" t="str">
        <f>"S"&amp;WEEKNUM(p_monday+42,21)</f>
        <v>S51</v>
      </c>
      <c r="J32" s="42" t="str">
        <f>"S"&amp;WEEKNUM(p_monday+49,21)</f>
        <v>S52</v>
      </c>
      <c r="K32" s="42" t="str">
        <f>"S"&amp;WEEKNUM(p_monday+56,21)</f>
        <v>S53</v>
      </c>
      <c r="L32" s="42" t="str">
        <f>"S"&amp;WEEKNUM(p_monday+63,21)</f>
        <v>S1</v>
      </c>
      <c r="M32" s="42" t="str">
        <f>"S"&amp;WEEKNUM(p_monday+70,21)</f>
        <v>S2</v>
      </c>
      <c r="N32" s="42" t="str">
        <f>"S"&amp;WEEKNUM(p_monday+77,21)</f>
        <v>S3</v>
      </c>
    </row>
    <row r="33">
      <c r="A33" s="79" t="n"/>
      <c r="B33" s="80" t="inlineStr">
        <is>
          <t>Semaine du</t>
        </is>
      </c>
      <c r="C33" s="81">
        <f>p_monday+0</f>
        <v>46328.0</v>
      </c>
      <c r="D33" s="81">
        <f>p_monday+7</f>
        <v>46335.0</v>
      </c>
      <c r="E33" s="81">
        <f>p_monday+14</f>
        <v>46342.0</v>
      </c>
      <c r="F33" s="81">
        <f>p_monday+21</f>
        <v>46349.0</v>
      </c>
      <c r="G33" s="81">
        <f>p_monday+28</f>
        <v>46356.0</v>
      </c>
      <c r="H33" s="81">
        <f>p_monday+35</f>
        <v>46363.0</v>
      </c>
      <c r="I33" s="81">
        <f>p_monday+42</f>
        <v>46370.0</v>
      </c>
      <c r="J33" s="81">
        <f>p_monday+49</f>
        <v>46377.0</v>
      </c>
      <c r="K33" s="81">
        <f>p_monday+56</f>
        <v>46384.0</v>
      </c>
      <c r="L33" s="81">
        <f>p_monday+63</f>
        <v>46391.0</v>
      </c>
      <c r="M33" s="81">
        <f>p_monday+70</f>
        <v>46398.0</v>
      </c>
      <c r="N33" s="81">
        <f>p_monday+77</f>
        <v>46405.0</v>
      </c>
    </row>
    <row r="34">
      <c r="A34" s="82" t="str">
        <f>IF(INDEX(po_code,1)="","",INDEX(po_code,1))</f>
        <v>SCIE</v>
      </c>
      <c r="B34" s="83" t="str">
        <f>IF(A34="","",INDEX(po_name,1)&amp;"")</f>
        <v>Scie à ruban</v>
      </c>
      <c r="C34" s="84">
        <f>IF($A34="","",INDEX(po_cap,1)*COUNTIF($C$91:$BV$91,1))</f>
        <v>28.8</v>
      </c>
      <c r="D34" s="84">
        <f>IF($A34="","",INDEX(po_cap,1)*COUNTIF($C$91:$BV$91,2))</f>
        <v>36.0</v>
      </c>
      <c r="E34" s="84">
        <f>IF($A34="","",INDEX(po_cap,1)*COUNTIF($C$91:$BV$91,3))</f>
        <v>28.8</v>
      </c>
      <c r="F34" s="84">
        <f>IF($A34="","",INDEX(po_cap,1)*COUNTIF($C$91:$BV$91,4))</f>
        <v>36.0</v>
      </c>
      <c r="G34" s="84">
        <f>IF($A34="","",INDEX(po_cap,1)*COUNTIF($C$91:$BV$91,5))</f>
        <v>36.0</v>
      </c>
      <c r="H34" s="84">
        <f>IF($A34="","",INDEX(po_cap,1)*COUNTIF($C$91:$BV$91,6))</f>
        <v>36.0</v>
      </c>
      <c r="I34" s="84">
        <f>IF($A34="","",INDEX(po_cap,1)*COUNTIF($C$91:$BV$91,7))</f>
        <v>36.0</v>
      </c>
      <c r="J34" s="84">
        <f>IF($A34="","",INDEX(po_cap,1)*COUNTIF($C$91:$BV$91,8))</f>
        <v>36.0</v>
      </c>
      <c r="K34" s="84">
        <f>IF($A34="","",INDEX(po_cap,1)*COUNTIF($C$91:$BV$91,9))</f>
        <v>28.8</v>
      </c>
      <c r="L34" s="84">
        <f>IF($A34="","",INDEX(po_cap,1)*COUNTIF($C$91:$BV$91,10))</f>
        <v>36.0</v>
      </c>
      <c r="M34" s="84">
        <f>IF($A34="","",INDEX(po_cap,1)*COUNTIF($C$91:$BV$91,11))</f>
        <v>21.6</v>
      </c>
      <c r="N34" s="84">
        <f>IF($A34="","",INDEX(po_cap,1)*COUNTIF($C$91:$BV$91,12))</f>
        <v>36.0</v>
      </c>
    </row>
    <row r="35">
      <c r="A35" s="82" t="str">
        <f>IF(INDEX(po_code,2)="","",INDEX(po_code,2))</f>
        <v>TOUR</v>
      </c>
      <c r="B35" s="83" t="str">
        <f>IF(A35="","",INDEX(po_name,2)&amp;"")</f>
        <v>Tour CN</v>
      </c>
      <c r="C35" s="84">
        <f>IF($A35="","",INDEX(po_cap,2)*COUNTIF($C$91:$BV$91,1))</f>
        <v>54.4</v>
      </c>
      <c r="D35" s="84">
        <f>IF($A35="","",INDEX(po_cap,2)*COUNTIF($C$91:$BV$91,2))</f>
        <v>68.0</v>
      </c>
      <c r="E35" s="84">
        <f>IF($A35="","",INDEX(po_cap,2)*COUNTIF($C$91:$BV$91,3))</f>
        <v>54.4</v>
      </c>
      <c r="F35" s="84">
        <f>IF($A35="","",INDEX(po_cap,2)*COUNTIF($C$91:$BV$91,4))</f>
        <v>68.0</v>
      </c>
      <c r="G35" s="84">
        <f>IF($A35="","",INDEX(po_cap,2)*COUNTIF($C$91:$BV$91,5))</f>
        <v>68.0</v>
      </c>
      <c r="H35" s="84">
        <f>IF($A35="","",INDEX(po_cap,2)*COUNTIF($C$91:$BV$91,6))</f>
        <v>68.0</v>
      </c>
      <c r="I35" s="84">
        <f>IF($A35="","",INDEX(po_cap,2)*COUNTIF($C$91:$BV$91,7))</f>
        <v>68.0</v>
      </c>
      <c r="J35" s="84">
        <f>IF($A35="","",INDEX(po_cap,2)*COUNTIF($C$91:$BV$91,8))</f>
        <v>68.0</v>
      </c>
      <c r="K35" s="84">
        <f>IF($A35="","",INDEX(po_cap,2)*COUNTIF($C$91:$BV$91,9))</f>
        <v>54.4</v>
      </c>
      <c r="L35" s="84">
        <f>IF($A35="","",INDEX(po_cap,2)*COUNTIF($C$91:$BV$91,10))</f>
        <v>68.0</v>
      </c>
      <c r="M35" s="84">
        <f>IF($A35="","",INDEX(po_cap,2)*COUNTIF($C$91:$BV$91,11))</f>
        <v>40.8</v>
      </c>
      <c r="N35" s="84">
        <f>IF($A35="","",INDEX(po_cap,2)*COUNTIF($C$91:$BV$91,12))</f>
        <v>68.0</v>
      </c>
    </row>
    <row r="36">
      <c r="A36" s="82" t="str">
        <f>IF(INDEX(po_code,3)="","",INDEX(po_code,3))</f>
        <v>FRAIS</v>
      </c>
      <c r="B36" s="83" t="str">
        <f>IF(A36="","",INDEX(po_name,3)&amp;"")</f>
        <v>Centre d'usinage</v>
      </c>
      <c r="C36" s="84">
        <f>IF($A36="","",INDEX(po_cap,3)*COUNTIF($C$91:$BV$91,1))</f>
        <v>54.4</v>
      </c>
      <c r="D36" s="84">
        <f>IF($A36="","",INDEX(po_cap,3)*COUNTIF($C$91:$BV$91,2))</f>
        <v>68.0</v>
      </c>
      <c r="E36" s="84">
        <f>IF($A36="","",INDEX(po_cap,3)*COUNTIF($C$91:$BV$91,3))</f>
        <v>54.4</v>
      </c>
      <c r="F36" s="84">
        <f>IF($A36="","",INDEX(po_cap,3)*COUNTIF($C$91:$BV$91,4))</f>
        <v>68.0</v>
      </c>
      <c r="G36" s="84">
        <f>IF($A36="","",INDEX(po_cap,3)*COUNTIF($C$91:$BV$91,5))</f>
        <v>68.0</v>
      </c>
      <c r="H36" s="84">
        <f>IF($A36="","",INDEX(po_cap,3)*COUNTIF($C$91:$BV$91,6))</f>
        <v>68.0</v>
      </c>
      <c r="I36" s="84">
        <f>IF($A36="","",INDEX(po_cap,3)*COUNTIF($C$91:$BV$91,7))</f>
        <v>68.0</v>
      </c>
      <c r="J36" s="84">
        <f>IF($A36="","",INDEX(po_cap,3)*COUNTIF($C$91:$BV$91,8))</f>
        <v>68.0</v>
      </c>
      <c r="K36" s="84">
        <f>IF($A36="","",INDEX(po_cap,3)*COUNTIF($C$91:$BV$91,9))</f>
        <v>54.4</v>
      </c>
      <c r="L36" s="84">
        <f>IF($A36="","",INDEX(po_cap,3)*COUNTIF($C$91:$BV$91,10))</f>
        <v>68.0</v>
      </c>
      <c r="M36" s="84">
        <f>IF($A36="","",INDEX(po_cap,3)*COUNTIF($C$91:$BV$91,11))</f>
        <v>40.8</v>
      </c>
      <c r="N36" s="84">
        <f>IF($A36="","",INDEX(po_cap,3)*COUNTIF($C$91:$BV$91,12))</f>
        <v>68.0</v>
      </c>
    </row>
    <row r="37">
      <c r="A37" s="82" t="str">
        <f>IF(INDEX(po_code,4)="","",INDEX(po_code,4))</f>
        <v>PLIE</v>
      </c>
      <c r="B37" s="83" t="str">
        <f>IF(A37="","",INDEX(po_name,4)&amp;"")</f>
        <v>Plieuse</v>
      </c>
      <c r="C37" s="84">
        <f>IF($A37="","",INDEX(po_cap,4)*COUNTIF($C$91:$BV$91,1))</f>
        <v>28.8</v>
      </c>
      <c r="D37" s="84">
        <f>IF($A37="","",INDEX(po_cap,4)*COUNTIF($C$91:$BV$91,2))</f>
        <v>36.0</v>
      </c>
      <c r="E37" s="84">
        <f>IF($A37="","",INDEX(po_cap,4)*COUNTIF($C$91:$BV$91,3))</f>
        <v>28.8</v>
      </c>
      <c r="F37" s="84">
        <f>IF($A37="","",INDEX(po_cap,4)*COUNTIF($C$91:$BV$91,4))</f>
        <v>36.0</v>
      </c>
      <c r="G37" s="84">
        <f>IF($A37="","",INDEX(po_cap,4)*COUNTIF($C$91:$BV$91,5))</f>
        <v>36.0</v>
      </c>
      <c r="H37" s="84">
        <f>IF($A37="","",INDEX(po_cap,4)*COUNTIF($C$91:$BV$91,6))</f>
        <v>36.0</v>
      </c>
      <c r="I37" s="84">
        <f>IF($A37="","",INDEX(po_cap,4)*COUNTIF($C$91:$BV$91,7))</f>
        <v>36.0</v>
      </c>
      <c r="J37" s="84">
        <f>IF($A37="","",INDEX(po_cap,4)*COUNTIF($C$91:$BV$91,8))</f>
        <v>36.0</v>
      </c>
      <c r="K37" s="84">
        <f>IF($A37="","",INDEX(po_cap,4)*COUNTIF($C$91:$BV$91,9))</f>
        <v>28.8</v>
      </c>
      <c r="L37" s="84">
        <f>IF($A37="","",INDEX(po_cap,4)*COUNTIF($C$91:$BV$91,10))</f>
        <v>36.0</v>
      </c>
      <c r="M37" s="84">
        <f>IF($A37="","",INDEX(po_cap,4)*COUNTIF($C$91:$BV$91,11))</f>
        <v>21.6</v>
      </c>
      <c r="N37" s="84">
        <f>IF($A37="","",INDEX(po_cap,4)*COUNTIF($C$91:$BV$91,12))</f>
        <v>36.0</v>
      </c>
    </row>
    <row r="38">
      <c r="A38" s="82" t="str">
        <f>IF(INDEX(po_code,5)="","",INDEX(po_code,5))</f>
        <v>SOUD</v>
      </c>
      <c r="B38" s="83" t="str">
        <f>IF(A38="","",INDEX(po_name,5)&amp;"")</f>
        <v>Soudure</v>
      </c>
      <c r="C38" s="84">
        <f>IF($A38="","",INDEX(po_cap,5)*COUNTIF($C$91:$BV$91,1))</f>
        <v>28.8</v>
      </c>
      <c r="D38" s="84">
        <f>IF($A38="","",INDEX(po_cap,5)*COUNTIF($C$91:$BV$91,2))</f>
        <v>36.0</v>
      </c>
      <c r="E38" s="84">
        <f>IF($A38="","",INDEX(po_cap,5)*COUNTIF($C$91:$BV$91,3))</f>
        <v>28.8</v>
      </c>
      <c r="F38" s="84">
        <f>IF($A38="","",INDEX(po_cap,5)*COUNTIF($C$91:$BV$91,4))</f>
        <v>36.0</v>
      </c>
      <c r="G38" s="84">
        <f>IF($A38="","",INDEX(po_cap,5)*COUNTIF($C$91:$BV$91,5))</f>
        <v>36.0</v>
      </c>
      <c r="H38" s="84">
        <f>IF($A38="","",INDEX(po_cap,5)*COUNTIF($C$91:$BV$91,6))</f>
        <v>36.0</v>
      </c>
      <c r="I38" s="84">
        <f>IF($A38="","",INDEX(po_cap,5)*COUNTIF($C$91:$BV$91,7))</f>
        <v>36.0</v>
      </c>
      <c r="J38" s="84">
        <f>IF($A38="","",INDEX(po_cap,5)*COUNTIF($C$91:$BV$91,8))</f>
        <v>36.0</v>
      </c>
      <c r="K38" s="84">
        <f>IF($A38="","",INDEX(po_cap,5)*COUNTIF($C$91:$BV$91,9))</f>
        <v>28.8</v>
      </c>
      <c r="L38" s="84">
        <f>IF($A38="","",INDEX(po_cap,5)*COUNTIF($C$91:$BV$91,10))</f>
        <v>36.0</v>
      </c>
      <c r="M38" s="84">
        <f>IF($A38="","",INDEX(po_cap,5)*COUNTIF($C$91:$BV$91,11))</f>
        <v>21.6</v>
      </c>
      <c r="N38" s="84">
        <f>IF($A38="","",INDEX(po_cap,5)*COUNTIF($C$91:$BV$91,12))</f>
        <v>36.0</v>
      </c>
    </row>
    <row r="39">
      <c r="A39" s="82" t="str">
        <f>IF(INDEX(po_code,6)="","",INDEX(po_code,6))</f>
        <v>PEINT</v>
      </c>
      <c r="B39" s="83" t="str">
        <f>IF(A39="","",INDEX(po_name,6)&amp;"")</f>
        <v>Cabine de peinture</v>
      </c>
      <c r="C39" s="84">
        <f>IF($A39="","",INDEX(po_cap,6)*COUNTIF($C$91:$BV$91,1))</f>
        <v>30.4</v>
      </c>
      <c r="D39" s="84">
        <f>IF($A39="","",INDEX(po_cap,6)*COUNTIF($C$91:$BV$91,2))</f>
        <v>38.0</v>
      </c>
      <c r="E39" s="84">
        <f>IF($A39="","",INDEX(po_cap,6)*COUNTIF($C$91:$BV$91,3))</f>
        <v>30.4</v>
      </c>
      <c r="F39" s="84">
        <f>IF($A39="","",INDEX(po_cap,6)*COUNTIF($C$91:$BV$91,4))</f>
        <v>38.0</v>
      </c>
      <c r="G39" s="84">
        <f>IF($A39="","",INDEX(po_cap,6)*COUNTIF($C$91:$BV$91,5))</f>
        <v>38.0</v>
      </c>
      <c r="H39" s="84">
        <f>IF($A39="","",INDEX(po_cap,6)*COUNTIF($C$91:$BV$91,6))</f>
        <v>38.0</v>
      </c>
      <c r="I39" s="84">
        <f>IF($A39="","",INDEX(po_cap,6)*COUNTIF($C$91:$BV$91,7))</f>
        <v>38.0</v>
      </c>
      <c r="J39" s="84">
        <f>IF($A39="","",INDEX(po_cap,6)*COUNTIF($C$91:$BV$91,8))</f>
        <v>38.0</v>
      </c>
      <c r="K39" s="84">
        <f>IF($A39="","",INDEX(po_cap,6)*COUNTIF($C$91:$BV$91,9))</f>
        <v>30.4</v>
      </c>
      <c r="L39" s="84">
        <f>IF($A39="","",INDEX(po_cap,6)*COUNTIF($C$91:$BV$91,10))</f>
        <v>38.0</v>
      </c>
      <c r="M39" s="84">
        <f>IF($A39="","",INDEX(po_cap,6)*COUNTIF($C$91:$BV$91,11))</f>
        <v>22.8</v>
      </c>
      <c r="N39" s="84">
        <f>IF($A39="","",INDEX(po_cap,6)*COUNTIF($C$91:$BV$91,12))</f>
        <v>38.0</v>
      </c>
    </row>
    <row r="40">
      <c r="A40" s="82" t="str">
        <f>IF(INDEX(po_code,7)="","",INDEX(po_code,7))</f>
        <v>MONT</v>
      </c>
      <c r="B40" s="83" t="str">
        <f>IF(A40="","",INDEX(po_name,7)&amp;"")</f>
        <v>Montage</v>
      </c>
      <c r="C40" s="84">
        <f>IF($A40="","",INDEX(po_cap,7)*COUNTIF($C$91:$BV$91,1))</f>
        <v>30.4</v>
      </c>
      <c r="D40" s="84">
        <f>IF($A40="","",INDEX(po_cap,7)*COUNTIF($C$91:$BV$91,2))</f>
        <v>38.0</v>
      </c>
      <c r="E40" s="84">
        <f>IF($A40="","",INDEX(po_cap,7)*COUNTIF($C$91:$BV$91,3))</f>
        <v>30.4</v>
      </c>
      <c r="F40" s="84">
        <f>IF($A40="","",INDEX(po_cap,7)*COUNTIF($C$91:$BV$91,4))</f>
        <v>38.0</v>
      </c>
      <c r="G40" s="84">
        <f>IF($A40="","",INDEX(po_cap,7)*COUNTIF($C$91:$BV$91,5))</f>
        <v>38.0</v>
      </c>
      <c r="H40" s="84">
        <f>IF($A40="","",INDEX(po_cap,7)*COUNTIF($C$91:$BV$91,6))</f>
        <v>38.0</v>
      </c>
      <c r="I40" s="84">
        <f>IF($A40="","",INDEX(po_cap,7)*COUNTIF($C$91:$BV$91,7))</f>
        <v>38.0</v>
      </c>
      <c r="J40" s="84">
        <f>IF($A40="","",INDEX(po_cap,7)*COUNTIF($C$91:$BV$91,8))</f>
        <v>38.0</v>
      </c>
      <c r="K40" s="84">
        <f>IF($A40="","",INDEX(po_cap,7)*COUNTIF($C$91:$BV$91,9))</f>
        <v>30.4</v>
      </c>
      <c r="L40" s="84">
        <f>IF($A40="","",INDEX(po_cap,7)*COUNTIF($C$91:$BV$91,10))</f>
        <v>38.0</v>
      </c>
      <c r="M40" s="84">
        <f>IF($A40="","",INDEX(po_cap,7)*COUNTIF($C$91:$BV$91,11))</f>
        <v>22.8</v>
      </c>
      <c r="N40" s="84">
        <f>IF($A40="","",INDEX(po_cap,7)*COUNTIF($C$91:$BV$91,12))</f>
        <v>38.0</v>
      </c>
    </row>
    <row r="41">
      <c r="A41" s="82" t="str">
        <f>IF(INDEX(po_code,8)="","",INDEX(po_code,8))</f>
        <v/>
      </c>
      <c r="B41" s="83" t="str">
        <f>IF(A41="","",INDEX(po_name,8)&amp;"")</f>
        <v/>
      </c>
      <c r="C41" s="84" t="str">
        <f>IF($A41="","",INDEX(po_cap,8)*COUNTIF($C$91:$BV$91,1))</f>
        <v/>
      </c>
      <c r="D41" s="84" t="str">
        <f>IF($A41="","",INDEX(po_cap,8)*COUNTIF($C$91:$BV$91,2))</f>
        <v/>
      </c>
      <c r="E41" s="84" t="str">
        <f>IF($A41="","",INDEX(po_cap,8)*COUNTIF($C$91:$BV$91,3))</f>
        <v/>
      </c>
      <c r="F41" s="84" t="str">
        <f>IF($A41="","",INDEX(po_cap,8)*COUNTIF($C$91:$BV$91,4))</f>
        <v/>
      </c>
      <c r="G41" s="84" t="str">
        <f>IF($A41="","",INDEX(po_cap,8)*COUNTIF($C$91:$BV$91,5))</f>
        <v/>
      </c>
      <c r="H41" s="84" t="str">
        <f>IF($A41="","",INDEX(po_cap,8)*COUNTIF($C$91:$BV$91,6))</f>
        <v/>
      </c>
      <c r="I41" s="84" t="str">
        <f>IF($A41="","",INDEX(po_cap,8)*COUNTIF($C$91:$BV$91,7))</f>
        <v/>
      </c>
      <c r="J41" s="84" t="str">
        <f>IF($A41="","",INDEX(po_cap,8)*COUNTIF($C$91:$BV$91,8))</f>
        <v/>
      </c>
      <c r="K41" s="84" t="str">
        <f>IF($A41="","",INDEX(po_cap,8)*COUNTIF($C$91:$BV$91,9))</f>
        <v/>
      </c>
      <c r="L41" s="84" t="str">
        <f>IF($A41="","",INDEX(po_cap,8)*COUNTIF($C$91:$BV$91,10))</f>
        <v/>
      </c>
      <c r="M41" s="84" t="str">
        <f>IF($A41="","",INDEX(po_cap,8)*COUNTIF($C$91:$BV$91,11))</f>
        <v/>
      </c>
      <c r="N41" s="84" t="str">
        <f>IF($A41="","",INDEX(po_cap,8)*COUNTIF($C$91:$BV$91,12))</f>
        <v/>
      </c>
    </row>
    <row r="42">
      <c r="A42" s="82" t="str">
        <f>IF(INDEX(po_code,9)="","",INDEX(po_code,9))</f>
        <v/>
      </c>
      <c r="B42" s="83" t="str">
        <f>IF(A42="","",INDEX(po_name,9)&amp;"")</f>
        <v/>
      </c>
      <c r="C42" s="84" t="str">
        <f>IF($A42="","",INDEX(po_cap,9)*COUNTIF($C$91:$BV$91,1))</f>
        <v/>
      </c>
      <c r="D42" s="84" t="str">
        <f>IF($A42="","",INDEX(po_cap,9)*COUNTIF($C$91:$BV$91,2))</f>
        <v/>
      </c>
      <c r="E42" s="84" t="str">
        <f>IF($A42="","",INDEX(po_cap,9)*COUNTIF($C$91:$BV$91,3))</f>
        <v/>
      </c>
      <c r="F42" s="84" t="str">
        <f>IF($A42="","",INDEX(po_cap,9)*COUNTIF($C$91:$BV$91,4))</f>
        <v/>
      </c>
      <c r="G42" s="84" t="str">
        <f>IF($A42="","",INDEX(po_cap,9)*COUNTIF($C$91:$BV$91,5))</f>
        <v/>
      </c>
      <c r="H42" s="84" t="str">
        <f>IF($A42="","",INDEX(po_cap,9)*COUNTIF($C$91:$BV$91,6))</f>
        <v/>
      </c>
      <c r="I42" s="84" t="str">
        <f>IF($A42="","",INDEX(po_cap,9)*COUNTIF($C$91:$BV$91,7))</f>
        <v/>
      </c>
      <c r="J42" s="84" t="str">
        <f>IF($A42="","",INDEX(po_cap,9)*COUNTIF($C$91:$BV$91,8))</f>
        <v/>
      </c>
      <c r="K42" s="84" t="str">
        <f>IF($A42="","",INDEX(po_cap,9)*COUNTIF($C$91:$BV$91,9))</f>
        <v/>
      </c>
      <c r="L42" s="84" t="str">
        <f>IF($A42="","",INDEX(po_cap,9)*COUNTIF($C$91:$BV$91,10))</f>
        <v/>
      </c>
      <c r="M42" s="84" t="str">
        <f>IF($A42="","",INDEX(po_cap,9)*COUNTIF($C$91:$BV$91,11))</f>
        <v/>
      </c>
      <c r="N42" s="84" t="str">
        <f>IF($A42="","",INDEX(po_cap,9)*COUNTIF($C$91:$BV$91,12))</f>
        <v/>
      </c>
    </row>
    <row r="43">
      <c r="A43" s="82" t="str">
        <f>IF(INDEX(po_code,10)="","",INDEX(po_code,10))</f>
        <v/>
      </c>
      <c r="B43" s="83" t="str">
        <f>IF(A43="","",INDEX(po_name,10)&amp;"")</f>
        <v/>
      </c>
      <c r="C43" s="84" t="str">
        <f>IF($A43="","",INDEX(po_cap,10)*COUNTIF($C$91:$BV$91,1))</f>
        <v/>
      </c>
      <c r="D43" s="84" t="str">
        <f>IF($A43="","",INDEX(po_cap,10)*COUNTIF($C$91:$BV$91,2))</f>
        <v/>
      </c>
      <c r="E43" s="84" t="str">
        <f>IF($A43="","",INDEX(po_cap,10)*COUNTIF($C$91:$BV$91,3))</f>
        <v/>
      </c>
      <c r="F43" s="84" t="str">
        <f>IF($A43="","",INDEX(po_cap,10)*COUNTIF($C$91:$BV$91,4))</f>
        <v/>
      </c>
      <c r="G43" s="84" t="str">
        <f>IF($A43="","",INDEX(po_cap,10)*COUNTIF($C$91:$BV$91,5))</f>
        <v/>
      </c>
      <c r="H43" s="84" t="str">
        <f>IF($A43="","",INDEX(po_cap,10)*COUNTIF($C$91:$BV$91,6))</f>
        <v/>
      </c>
      <c r="I43" s="84" t="str">
        <f>IF($A43="","",INDEX(po_cap,10)*COUNTIF($C$91:$BV$91,7))</f>
        <v/>
      </c>
      <c r="J43" s="84" t="str">
        <f>IF($A43="","",INDEX(po_cap,10)*COUNTIF($C$91:$BV$91,8))</f>
        <v/>
      </c>
      <c r="K43" s="84" t="str">
        <f>IF($A43="","",INDEX(po_cap,10)*COUNTIF($C$91:$BV$91,9))</f>
        <v/>
      </c>
      <c r="L43" s="84" t="str">
        <f>IF($A43="","",INDEX(po_cap,10)*COUNTIF($C$91:$BV$91,10))</f>
        <v/>
      </c>
      <c r="M43" s="84" t="str">
        <f>IF($A43="","",INDEX(po_cap,10)*COUNTIF($C$91:$BV$91,11))</f>
        <v/>
      </c>
      <c r="N43" s="84" t="str">
        <f>IF($A43="","",INDEX(po_cap,10)*COUNTIF($C$91:$BV$91,12))</f>
        <v/>
      </c>
    </row>
    <row r="44">
      <c r="A44" s="82" t="str">
        <f>IF(INDEX(po_code,11)="","",INDEX(po_code,11))</f>
        <v/>
      </c>
      <c r="B44" s="83" t="str">
        <f>IF(A44="","",INDEX(po_name,11)&amp;"")</f>
        <v/>
      </c>
      <c r="C44" s="84" t="str">
        <f>IF($A44="","",INDEX(po_cap,11)*COUNTIF($C$91:$BV$91,1))</f>
        <v/>
      </c>
      <c r="D44" s="84" t="str">
        <f>IF($A44="","",INDEX(po_cap,11)*COUNTIF($C$91:$BV$91,2))</f>
        <v/>
      </c>
      <c r="E44" s="84" t="str">
        <f>IF($A44="","",INDEX(po_cap,11)*COUNTIF($C$91:$BV$91,3))</f>
        <v/>
      </c>
      <c r="F44" s="84" t="str">
        <f>IF($A44="","",INDEX(po_cap,11)*COUNTIF($C$91:$BV$91,4))</f>
        <v/>
      </c>
      <c r="G44" s="84" t="str">
        <f>IF($A44="","",INDEX(po_cap,11)*COUNTIF($C$91:$BV$91,5))</f>
        <v/>
      </c>
      <c r="H44" s="84" t="str">
        <f>IF($A44="","",INDEX(po_cap,11)*COUNTIF($C$91:$BV$91,6))</f>
        <v/>
      </c>
      <c r="I44" s="84" t="str">
        <f>IF($A44="","",INDEX(po_cap,11)*COUNTIF($C$91:$BV$91,7))</f>
        <v/>
      </c>
      <c r="J44" s="84" t="str">
        <f>IF($A44="","",INDEX(po_cap,11)*COUNTIF($C$91:$BV$91,8))</f>
        <v/>
      </c>
      <c r="K44" s="84" t="str">
        <f>IF($A44="","",INDEX(po_cap,11)*COUNTIF($C$91:$BV$91,9))</f>
        <v/>
      </c>
      <c r="L44" s="84" t="str">
        <f>IF($A44="","",INDEX(po_cap,11)*COUNTIF($C$91:$BV$91,10))</f>
        <v/>
      </c>
      <c r="M44" s="84" t="str">
        <f>IF($A44="","",INDEX(po_cap,11)*COUNTIF($C$91:$BV$91,11))</f>
        <v/>
      </c>
      <c r="N44" s="84" t="str">
        <f>IF($A44="","",INDEX(po_cap,11)*COUNTIF($C$91:$BV$91,12))</f>
        <v/>
      </c>
    </row>
    <row r="45">
      <c r="A45" s="82" t="str">
        <f>IF(INDEX(po_code,12)="","",INDEX(po_code,12))</f>
        <v/>
      </c>
      <c r="B45" s="83" t="str">
        <f>IF(A45="","",INDEX(po_name,12)&amp;"")</f>
        <v/>
      </c>
      <c r="C45" s="84" t="str">
        <f>IF($A45="","",INDEX(po_cap,12)*COUNTIF($C$91:$BV$91,1))</f>
        <v/>
      </c>
      <c r="D45" s="84" t="str">
        <f>IF($A45="","",INDEX(po_cap,12)*COUNTIF($C$91:$BV$91,2))</f>
        <v/>
      </c>
      <c r="E45" s="84" t="str">
        <f>IF($A45="","",INDEX(po_cap,12)*COUNTIF($C$91:$BV$91,3))</f>
        <v/>
      </c>
      <c r="F45" s="84" t="str">
        <f>IF($A45="","",INDEX(po_cap,12)*COUNTIF($C$91:$BV$91,4))</f>
        <v/>
      </c>
      <c r="G45" s="84" t="str">
        <f>IF($A45="","",INDEX(po_cap,12)*COUNTIF($C$91:$BV$91,5))</f>
        <v/>
      </c>
      <c r="H45" s="84" t="str">
        <f>IF($A45="","",INDEX(po_cap,12)*COUNTIF($C$91:$BV$91,6))</f>
        <v/>
      </c>
      <c r="I45" s="84" t="str">
        <f>IF($A45="","",INDEX(po_cap,12)*COUNTIF($C$91:$BV$91,7))</f>
        <v/>
      </c>
      <c r="J45" s="84" t="str">
        <f>IF($A45="","",INDEX(po_cap,12)*COUNTIF($C$91:$BV$91,8))</f>
        <v/>
      </c>
      <c r="K45" s="84" t="str">
        <f>IF($A45="","",INDEX(po_cap,12)*COUNTIF($C$91:$BV$91,9))</f>
        <v/>
      </c>
      <c r="L45" s="84" t="str">
        <f>IF($A45="","",INDEX(po_cap,12)*COUNTIF($C$91:$BV$91,10))</f>
        <v/>
      </c>
      <c r="M45" s="84" t="str">
        <f>IF($A45="","",INDEX(po_cap,12)*COUNTIF($C$91:$BV$91,11))</f>
        <v/>
      </c>
      <c r="N45" s="84" t="str">
        <f>IF($A45="","",INDEX(po_cap,12)*COUNTIF($C$91:$BV$91,12))</f>
        <v/>
      </c>
    </row>
    <row r="46">
      <c r="A46" s="82" t="str">
        <f>IF(INDEX(po_code,13)="","",INDEX(po_code,13))</f>
        <v/>
      </c>
      <c r="B46" s="83" t="str">
        <f>IF(A46="","",INDEX(po_name,13)&amp;"")</f>
        <v/>
      </c>
      <c r="C46" s="84" t="str">
        <f>IF($A46="","",INDEX(po_cap,13)*COUNTIF($C$91:$BV$91,1))</f>
        <v/>
      </c>
      <c r="D46" s="84" t="str">
        <f>IF($A46="","",INDEX(po_cap,13)*COUNTIF($C$91:$BV$91,2))</f>
        <v/>
      </c>
      <c r="E46" s="84" t="str">
        <f>IF($A46="","",INDEX(po_cap,13)*COUNTIF($C$91:$BV$91,3))</f>
        <v/>
      </c>
      <c r="F46" s="84" t="str">
        <f>IF($A46="","",INDEX(po_cap,13)*COUNTIF($C$91:$BV$91,4))</f>
        <v/>
      </c>
      <c r="G46" s="84" t="str">
        <f>IF($A46="","",INDEX(po_cap,13)*COUNTIF($C$91:$BV$91,5))</f>
        <v/>
      </c>
      <c r="H46" s="84" t="str">
        <f>IF($A46="","",INDEX(po_cap,13)*COUNTIF($C$91:$BV$91,6))</f>
        <v/>
      </c>
      <c r="I46" s="84" t="str">
        <f>IF($A46="","",INDEX(po_cap,13)*COUNTIF($C$91:$BV$91,7))</f>
        <v/>
      </c>
      <c r="J46" s="84" t="str">
        <f>IF($A46="","",INDEX(po_cap,13)*COUNTIF($C$91:$BV$91,8))</f>
        <v/>
      </c>
      <c r="K46" s="84" t="str">
        <f>IF($A46="","",INDEX(po_cap,13)*COUNTIF($C$91:$BV$91,9))</f>
        <v/>
      </c>
      <c r="L46" s="84" t="str">
        <f>IF($A46="","",INDEX(po_cap,13)*COUNTIF($C$91:$BV$91,10))</f>
        <v/>
      </c>
      <c r="M46" s="84" t="str">
        <f>IF($A46="","",INDEX(po_cap,13)*COUNTIF($C$91:$BV$91,11))</f>
        <v/>
      </c>
      <c r="N46" s="84" t="str">
        <f>IF($A46="","",INDEX(po_cap,13)*COUNTIF($C$91:$BV$91,12))</f>
        <v/>
      </c>
    </row>
    <row r="47">
      <c r="A47" s="82" t="str">
        <f>IF(INDEX(po_code,14)="","",INDEX(po_code,14))</f>
        <v/>
      </c>
      <c r="B47" s="83" t="str">
        <f>IF(A47="","",INDEX(po_name,14)&amp;"")</f>
        <v/>
      </c>
      <c r="C47" s="84" t="str">
        <f>IF($A47="","",INDEX(po_cap,14)*COUNTIF($C$91:$BV$91,1))</f>
        <v/>
      </c>
      <c r="D47" s="84" t="str">
        <f>IF($A47="","",INDEX(po_cap,14)*COUNTIF($C$91:$BV$91,2))</f>
        <v/>
      </c>
      <c r="E47" s="84" t="str">
        <f>IF($A47="","",INDEX(po_cap,14)*COUNTIF($C$91:$BV$91,3))</f>
        <v/>
      </c>
      <c r="F47" s="84" t="str">
        <f>IF($A47="","",INDEX(po_cap,14)*COUNTIF($C$91:$BV$91,4))</f>
        <v/>
      </c>
      <c r="G47" s="84" t="str">
        <f>IF($A47="","",INDEX(po_cap,14)*COUNTIF($C$91:$BV$91,5))</f>
        <v/>
      </c>
      <c r="H47" s="84" t="str">
        <f>IF($A47="","",INDEX(po_cap,14)*COUNTIF($C$91:$BV$91,6))</f>
        <v/>
      </c>
      <c r="I47" s="84" t="str">
        <f>IF($A47="","",INDEX(po_cap,14)*COUNTIF($C$91:$BV$91,7))</f>
        <v/>
      </c>
      <c r="J47" s="84" t="str">
        <f>IF($A47="","",INDEX(po_cap,14)*COUNTIF($C$91:$BV$91,8))</f>
        <v/>
      </c>
      <c r="K47" s="84" t="str">
        <f>IF($A47="","",INDEX(po_cap,14)*COUNTIF($C$91:$BV$91,9))</f>
        <v/>
      </c>
      <c r="L47" s="84" t="str">
        <f>IF($A47="","",INDEX(po_cap,14)*COUNTIF($C$91:$BV$91,10))</f>
        <v/>
      </c>
      <c r="M47" s="84" t="str">
        <f>IF($A47="","",INDEX(po_cap,14)*COUNTIF($C$91:$BV$91,11))</f>
        <v/>
      </c>
      <c r="N47" s="84" t="str">
        <f>IF($A47="","",INDEX(po_cap,14)*COUNTIF($C$91:$BV$91,12))</f>
        <v/>
      </c>
    </row>
    <row r="48">
      <c r="A48" s="82" t="str">
        <f>IF(INDEX(po_code,15)="","",INDEX(po_code,15))</f>
        <v/>
      </c>
      <c r="B48" s="83" t="str">
        <f>IF(A48="","",INDEX(po_name,15)&amp;"")</f>
        <v/>
      </c>
      <c r="C48" s="84" t="str">
        <f>IF($A48="","",INDEX(po_cap,15)*COUNTIF($C$91:$BV$91,1))</f>
        <v/>
      </c>
      <c r="D48" s="84" t="str">
        <f>IF($A48="","",INDEX(po_cap,15)*COUNTIF($C$91:$BV$91,2))</f>
        <v/>
      </c>
      <c r="E48" s="84" t="str">
        <f>IF($A48="","",INDEX(po_cap,15)*COUNTIF($C$91:$BV$91,3))</f>
        <v/>
      </c>
      <c r="F48" s="84" t="str">
        <f>IF($A48="","",INDEX(po_cap,15)*COUNTIF($C$91:$BV$91,4))</f>
        <v/>
      </c>
      <c r="G48" s="84" t="str">
        <f>IF($A48="","",INDEX(po_cap,15)*COUNTIF($C$91:$BV$91,5))</f>
        <v/>
      </c>
      <c r="H48" s="84" t="str">
        <f>IF($A48="","",INDEX(po_cap,15)*COUNTIF($C$91:$BV$91,6))</f>
        <v/>
      </c>
      <c r="I48" s="84" t="str">
        <f>IF($A48="","",INDEX(po_cap,15)*COUNTIF($C$91:$BV$91,7))</f>
        <v/>
      </c>
      <c r="J48" s="84" t="str">
        <f>IF($A48="","",INDEX(po_cap,15)*COUNTIF($C$91:$BV$91,8))</f>
        <v/>
      </c>
      <c r="K48" s="84" t="str">
        <f>IF($A48="","",INDEX(po_cap,15)*COUNTIF($C$91:$BV$91,9))</f>
        <v/>
      </c>
      <c r="L48" s="84" t="str">
        <f>IF($A48="","",INDEX(po_cap,15)*COUNTIF($C$91:$BV$91,10))</f>
        <v/>
      </c>
      <c r="M48" s="84" t="str">
        <f>IF($A48="","",INDEX(po_cap,15)*COUNTIF($C$91:$BV$91,11))</f>
        <v/>
      </c>
      <c r="N48" s="84" t="str">
        <f>IF($A48="","",INDEX(po_cap,15)*COUNTIF($C$91:$BV$91,12))</f>
        <v/>
      </c>
    </row>
    <row r="49">
      <c r="A49" s="82" t="str">
        <f>IF(INDEX(po_code,16)="","",INDEX(po_code,16))</f>
        <v/>
      </c>
      <c r="B49" s="83" t="str">
        <f>IF(A49="","",INDEX(po_name,16)&amp;"")</f>
        <v/>
      </c>
      <c r="C49" s="84" t="str">
        <f>IF($A49="","",INDEX(po_cap,16)*COUNTIF($C$91:$BV$91,1))</f>
        <v/>
      </c>
      <c r="D49" s="84" t="str">
        <f>IF($A49="","",INDEX(po_cap,16)*COUNTIF($C$91:$BV$91,2))</f>
        <v/>
      </c>
      <c r="E49" s="84" t="str">
        <f>IF($A49="","",INDEX(po_cap,16)*COUNTIF($C$91:$BV$91,3))</f>
        <v/>
      </c>
      <c r="F49" s="84" t="str">
        <f>IF($A49="","",INDEX(po_cap,16)*COUNTIF($C$91:$BV$91,4))</f>
        <v/>
      </c>
      <c r="G49" s="84" t="str">
        <f>IF($A49="","",INDEX(po_cap,16)*COUNTIF($C$91:$BV$91,5))</f>
        <v/>
      </c>
      <c r="H49" s="84" t="str">
        <f>IF($A49="","",INDEX(po_cap,16)*COUNTIF($C$91:$BV$91,6))</f>
        <v/>
      </c>
      <c r="I49" s="84" t="str">
        <f>IF($A49="","",INDEX(po_cap,16)*COUNTIF($C$91:$BV$91,7))</f>
        <v/>
      </c>
      <c r="J49" s="84" t="str">
        <f>IF($A49="","",INDEX(po_cap,16)*COUNTIF($C$91:$BV$91,8))</f>
        <v/>
      </c>
      <c r="K49" s="84" t="str">
        <f>IF($A49="","",INDEX(po_cap,16)*COUNTIF($C$91:$BV$91,9))</f>
        <v/>
      </c>
      <c r="L49" s="84" t="str">
        <f>IF($A49="","",INDEX(po_cap,16)*COUNTIF($C$91:$BV$91,10))</f>
        <v/>
      </c>
      <c r="M49" s="84" t="str">
        <f>IF($A49="","",INDEX(po_cap,16)*COUNTIF($C$91:$BV$91,11))</f>
        <v/>
      </c>
      <c r="N49" s="84" t="str">
        <f>IF($A49="","",INDEX(po_cap,16)*COUNTIF($C$91:$BV$91,12))</f>
        <v/>
      </c>
    </row>
    <row r="50">
      <c r="A50" s="82" t="str">
        <f>IF(INDEX(po_code,17)="","",INDEX(po_code,17))</f>
        <v/>
      </c>
      <c r="B50" s="83" t="str">
        <f>IF(A50="","",INDEX(po_name,17)&amp;"")</f>
        <v/>
      </c>
      <c r="C50" s="84" t="str">
        <f>IF($A50="","",INDEX(po_cap,17)*COUNTIF($C$91:$BV$91,1))</f>
        <v/>
      </c>
      <c r="D50" s="84" t="str">
        <f>IF($A50="","",INDEX(po_cap,17)*COUNTIF($C$91:$BV$91,2))</f>
        <v/>
      </c>
      <c r="E50" s="84" t="str">
        <f>IF($A50="","",INDEX(po_cap,17)*COUNTIF($C$91:$BV$91,3))</f>
        <v/>
      </c>
      <c r="F50" s="84" t="str">
        <f>IF($A50="","",INDEX(po_cap,17)*COUNTIF($C$91:$BV$91,4))</f>
        <v/>
      </c>
      <c r="G50" s="84" t="str">
        <f>IF($A50="","",INDEX(po_cap,17)*COUNTIF($C$91:$BV$91,5))</f>
        <v/>
      </c>
      <c r="H50" s="84" t="str">
        <f>IF($A50="","",INDEX(po_cap,17)*COUNTIF($C$91:$BV$91,6))</f>
        <v/>
      </c>
      <c r="I50" s="84" t="str">
        <f>IF($A50="","",INDEX(po_cap,17)*COUNTIF($C$91:$BV$91,7))</f>
        <v/>
      </c>
      <c r="J50" s="84" t="str">
        <f>IF($A50="","",INDEX(po_cap,17)*COUNTIF($C$91:$BV$91,8))</f>
        <v/>
      </c>
      <c r="K50" s="84" t="str">
        <f>IF($A50="","",INDEX(po_cap,17)*COUNTIF($C$91:$BV$91,9))</f>
        <v/>
      </c>
      <c r="L50" s="84" t="str">
        <f>IF($A50="","",INDEX(po_cap,17)*COUNTIF($C$91:$BV$91,10))</f>
        <v/>
      </c>
      <c r="M50" s="84" t="str">
        <f>IF($A50="","",INDEX(po_cap,17)*COUNTIF($C$91:$BV$91,11))</f>
        <v/>
      </c>
      <c r="N50" s="84" t="str">
        <f>IF($A50="","",INDEX(po_cap,17)*COUNTIF($C$91:$BV$91,12))</f>
        <v/>
      </c>
    </row>
    <row r="51">
      <c r="A51" s="82" t="str">
        <f>IF(INDEX(po_code,18)="","",INDEX(po_code,18))</f>
        <v/>
      </c>
      <c r="B51" s="83" t="str">
        <f>IF(A51="","",INDEX(po_name,18)&amp;"")</f>
        <v/>
      </c>
      <c r="C51" s="84" t="str">
        <f>IF($A51="","",INDEX(po_cap,18)*COUNTIF($C$91:$BV$91,1))</f>
        <v/>
      </c>
      <c r="D51" s="84" t="str">
        <f>IF($A51="","",INDEX(po_cap,18)*COUNTIF($C$91:$BV$91,2))</f>
        <v/>
      </c>
      <c r="E51" s="84" t="str">
        <f>IF($A51="","",INDEX(po_cap,18)*COUNTIF($C$91:$BV$91,3))</f>
        <v/>
      </c>
      <c r="F51" s="84" t="str">
        <f>IF($A51="","",INDEX(po_cap,18)*COUNTIF($C$91:$BV$91,4))</f>
        <v/>
      </c>
      <c r="G51" s="84" t="str">
        <f>IF($A51="","",INDEX(po_cap,18)*COUNTIF($C$91:$BV$91,5))</f>
        <v/>
      </c>
      <c r="H51" s="84" t="str">
        <f>IF($A51="","",INDEX(po_cap,18)*COUNTIF($C$91:$BV$91,6))</f>
        <v/>
      </c>
      <c r="I51" s="84" t="str">
        <f>IF($A51="","",INDEX(po_cap,18)*COUNTIF($C$91:$BV$91,7))</f>
        <v/>
      </c>
      <c r="J51" s="84" t="str">
        <f>IF($A51="","",INDEX(po_cap,18)*COUNTIF($C$91:$BV$91,8))</f>
        <v/>
      </c>
      <c r="K51" s="84" t="str">
        <f>IF($A51="","",INDEX(po_cap,18)*COUNTIF($C$91:$BV$91,9))</f>
        <v/>
      </c>
      <c r="L51" s="84" t="str">
        <f>IF($A51="","",INDEX(po_cap,18)*COUNTIF($C$91:$BV$91,10))</f>
        <v/>
      </c>
      <c r="M51" s="84" t="str">
        <f>IF($A51="","",INDEX(po_cap,18)*COUNTIF($C$91:$BV$91,11))</f>
        <v/>
      </c>
      <c r="N51" s="84" t="str">
        <f>IF($A51="","",INDEX(po_cap,18)*COUNTIF($C$91:$BV$91,12))</f>
        <v/>
      </c>
    </row>
    <row r="52">
      <c r="A52" s="82" t="str">
        <f>IF(INDEX(po_code,19)="","",INDEX(po_code,19))</f>
        <v/>
      </c>
      <c r="B52" s="83" t="str">
        <f>IF(A52="","",INDEX(po_name,19)&amp;"")</f>
        <v/>
      </c>
      <c r="C52" s="84" t="str">
        <f>IF($A52="","",INDEX(po_cap,19)*COUNTIF($C$91:$BV$91,1))</f>
        <v/>
      </c>
      <c r="D52" s="84" t="str">
        <f>IF($A52="","",INDEX(po_cap,19)*COUNTIF($C$91:$BV$91,2))</f>
        <v/>
      </c>
      <c r="E52" s="84" t="str">
        <f>IF($A52="","",INDEX(po_cap,19)*COUNTIF($C$91:$BV$91,3))</f>
        <v/>
      </c>
      <c r="F52" s="84" t="str">
        <f>IF($A52="","",INDEX(po_cap,19)*COUNTIF($C$91:$BV$91,4))</f>
        <v/>
      </c>
      <c r="G52" s="84" t="str">
        <f>IF($A52="","",INDEX(po_cap,19)*COUNTIF($C$91:$BV$91,5))</f>
        <v/>
      </c>
      <c r="H52" s="84" t="str">
        <f>IF($A52="","",INDEX(po_cap,19)*COUNTIF($C$91:$BV$91,6))</f>
        <v/>
      </c>
      <c r="I52" s="84" t="str">
        <f>IF($A52="","",INDEX(po_cap,19)*COUNTIF($C$91:$BV$91,7))</f>
        <v/>
      </c>
      <c r="J52" s="84" t="str">
        <f>IF($A52="","",INDEX(po_cap,19)*COUNTIF($C$91:$BV$91,8))</f>
        <v/>
      </c>
      <c r="K52" s="84" t="str">
        <f>IF($A52="","",INDEX(po_cap,19)*COUNTIF($C$91:$BV$91,9))</f>
        <v/>
      </c>
      <c r="L52" s="84" t="str">
        <f>IF($A52="","",INDEX(po_cap,19)*COUNTIF($C$91:$BV$91,10))</f>
        <v/>
      </c>
      <c r="M52" s="84" t="str">
        <f>IF($A52="","",INDEX(po_cap,19)*COUNTIF($C$91:$BV$91,11))</f>
        <v/>
      </c>
      <c r="N52" s="84" t="str">
        <f>IF($A52="","",INDEX(po_cap,19)*COUNTIF($C$91:$BV$91,12))</f>
        <v/>
      </c>
    </row>
    <row r="53">
      <c r="A53" s="82" t="str">
        <f>IF(INDEX(po_code,20)="","",INDEX(po_code,20))</f>
        <v/>
      </c>
      <c r="B53" s="83" t="str">
        <f>IF(A53="","",INDEX(po_name,20)&amp;"")</f>
        <v/>
      </c>
      <c r="C53" s="84" t="str">
        <f>IF($A53="","",INDEX(po_cap,20)*COUNTIF($C$91:$BV$91,1))</f>
        <v/>
      </c>
      <c r="D53" s="84" t="str">
        <f>IF($A53="","",INDEX(po_cap,20)*COUNTIF($C$91:$BV$91,2))</f>
        <v/>
      </c>
      <c r="E53" s="84" t="str">
        <f>IF($A53="","",INDEX(po_cap,20)*COUNTIF($C$91:$BV$91,3))</f>
        <v/>
      </c>
      <c r="F53" s="84" t="str">
        <f>IF($A53="","",INDEX(po_cap,20)*COUNTIF($C$91:$BV$91,4))</f>
        <v/>
      </c>
      <c r="G53" s="84" t="str">
        <f>IF($A53="","",INDEX(po_cap,20)*COUNTIF($C$91:$BV$91,5))</f>
        <v/>
      </c>
      <c r="H53" s="84" t="str">
        <f>IF($A53="","",INDEX(po_cap,20)*COUNTIF($C$91:$BV$91,6))</f>
        <v/>
      </c>
      <c r="I53" s="84" t="str">
        <f>IF($A53="","",INDEX(po_cap,20)*COUNTIF($C$91:$BV$91,7))</f>
        <v/>
      </c>
      <c r="J53" s="84" t="str">
        <f>IF($A53="","",INDEX(po_cap,20)*COUNTIF($C$91:$BV$91,8))</f>
        <v/>
      </c>
      <c r="K53" s="84" t="str">
        <f>IF($A53="","",INDEX(po_cap,20)*COUNTIF($C$91:$BV$91,9))</f>
        <v/>
      </c>
      <c r="L53" s="84" t="str">
        <f>IF($A53="","",INDEX(po_cap,20)*COUNTIF($C$91:$BV$91,10))</f>
        <v/>
      </c>
      <c r="M53" s="84" t="str">
        <f>IF($A53="","",INDEX(po_cap,20)*COUNTIF($C$91:$BV$91,11))</f>
        <v/>
      </c>
      <c r="N53" s="84" t="str">
        <f>IF($A53="","",INDEX(po_cap,20)*COUNTIF($C$91:$BV$91,12))</f>
        <v/>
      </c>
    </row>
    <row r="54">
      <c r="A54" s="79" t="n"/>
      <c r="B54" s="85" t="inlineStr">
        <is>
          <t>Total atelier</t>
        </is>
      </c>
      <c r="C54" s="86">
        <f>SUM(C34:C53)</f>
        <v>256.0</v>
      </c>
      <c r="D54" s="86">
        <f>SUM(D34:D53)</f>
        <v>320.0</v>
      </c>
      <c r="E54" s="86">
        <f>SUM(E34:E53)</f>
        <v>256.0</v>
      </c>
      <c r="F54" s="86">
        <f>SUM(F34:F53)</f>
        <v>320.0</v>
      </c>
      <c r="G54" s="86">
        <f>SUM(G34:G53)</f>
        <v>320.0</v>
      </c>
      <c r="H54" s="86">
        <f>SUM(H34:H53)</f>
        <v>320.0</v>
      </c>
      <c r="I54" s="86">
        <f>SUM(I34:I53)</f>
        <v>320.0</v>
      </c>
      <c r="J54" s="86">
        <f>SUM(J34:J53)</f>
        <v>320.0</v>
      </c>
      <c r="K54" s="86">
        <f>SUM(K34:K53)</f>
        <v>256.0</v>
      </c>
      <c r="L54" s="86">
        <f>SUM(L34:L53)</f>
        <v>320.0</v>
      </c>
      <c r="M54" s="86">
        <f>SUM(M34:M53)</f>
        <v>192.0</v>
      </c>
      <c r="N54" s="86">
        <f>SUM(N34:N53)</f>
        <v>320.0</v>
      </c>
    </row>
    <row r="57" ht="22" customHeight="1">
      <c r="A57" s="5" t="inlineStr">
        <is>
          <t>Taux de charge</t>
        </is>
      </c>
      <c r="B57" s="6" t="n"/>
      <c r="C57" s="6" t="n"/>
      <c r="D57" s="6" t="n"/>
      <c r="E57" s="6" t="n"/>
      <c r="F57" s="6" t="n"/>
      <c r="G57" s="6" t="n"/>
      <c r="H57" s="6" t="n"/>
      <c r="I57" s="6" t="n"/>
      <c r="J57" s="6" t="n"/>
      <c r="K57" s="6" t="n"/>
      <c r="L57" s="6" t="n"/>
      <c r="M57" s="6" t="n"/>
      <c r="N57" s="6" t="n"/>
    </row>
    <row r="58" ht="20" customHeight="1">
      <c r="A58" s="42" t="inlineStr">
        <is>
          <t>Poste</t>
        </is>
      </c>
      <c r="B58" s="42" t="inlineStr">
        <is>
          <t>Nom</t>
        </is>
      </c>
      <c r="C58" s="42" t="str">
        <f>"S"&amp;WEEKNUM(p_monday+0,21)</f>
        <v>S45</v>
      </c>
      <c r="D58" s="42" t="str">
        <f>"S"&amp;WEEKNUM(p_monday+7,21)</f>
        <v>S46</v>
      </c>
      <c r="E58" s="42" t="str">
        <f>"S"&amp;WEEKNUM(p_monday+14,21)</f>
        <v>S47</v>
      </c>
      <c r="F58" s="42" t="str">
        <f>"S"&amp;WEEKNUM(p_monday+21,21)</f>
        <v>S48</v>
      </c>
      <c r="G58" s="42" t="str">
        <f>"S"&amp;WEEKNUM(p_monday+28,21)</f>
        <v>S49</v>
      </c>
      <c r="H58" s="42" t="str">
        <f>"S"&amp;WEEKNUM(p_monday+35,21)</f>
        <v>S50</v>
      </c>
      <c r="I58" s="42" t="str">
        <f>"S"&amp;WEEKNUM(p_monday+42,21)</f>
        <v>S51</v>
      </c>
      <c r="J58" s="42" t="str">
        <f>"S"&amp;WEEKNUM(p_monday+49,21)</f>
        <v>S52</v>
      </c>
      <c r="K58" s="42" t="str">
        <f>"S"&amp;WEEKNUM(p_monday+56,21)</f>
        <v>S53</v>
      </c>
      <c r="L58" s="42" t="str">
        <f>"S"&amp;WEEKNUM(p_monday+63,21)</f>
        <v>S1</v>
      </c>
      <c r="M58" s="42" t="str">
        <f>"S"&amp;WEEKNUM(p_monday+70,21)</f>
        <v>S2</v>
      </c>
      <c r="N58" s="42" t="str">
        <f>"S"&amp;WEEKNUM(p_monday+77,21)</f>
        <v>S3</v>
      </c>
    </row>
    <row r="59">
      <c r="A59" s="79" t="n"/>
      <c r="B59" s="80" t="inlineStr">
        <is>
          <t>Semaine du</t>
        </is>
      </c>
      <c r="C59" s="81">
        <f>p_monday+0</f>
        <v>46328.0</v>
      </c>
      <c r="D59" s="81">
        <f>p_monday+7</f>
        <v>46335.0</v>
      </c>
      <c r="E59" s="81">
        <f>p_monday+14</f>
        <v>46342.0</v>
      </c>
      <c r="F59" s="81">
        <f>p_monday+21</f>
        <v>46349.0</v>
      </c>
      <c r="G59" s="81">
        <f>p_monday+28</f>
        <v>46356.0</v>
      </c>
      <c r="H59" s="81">
        <f>p_monday+35</f>
        <v>46363.0</v>
      </c>
      <c r="I59" s="81">
        <f>p_monday+42</f>
        <v>46370.0</v>
      </c>
      <c r="J59" s="81">
        <f>p_monday+49</f>
        <v>46377.0</v>
      </c>
      <c r="K59" s="81">
        <f>p_monday+56</f>
        <v>46384.0</v>
      </c>
      <c r="L59" s="81">
        <f>p_monday+63</f>
        <v>46391.0</v>
      </c>
      <c r="M59" s="81">
        <f>p_monday+70</f>
        <v>46398.0</v>
      </c>
      <c r="N59" s="81">
        <f>p_monday+77</f>
        <v>46405.0</v>
      </c>
    </row>
    <row r="60">
      <c r="A60" s="82" t="str">
        <f>IF(INDEX(po_code,1)="","",INDEX(po_code,1))</f>
        <v>SCIE</v>
      </c>
      <c r="B60" s="83" t="str">
        <f>IF(A60="","",INDEX(po_name,1)&amp;"")</f>
        <v>Scie à ruban</v>
      </c>
      <c r="C60" s="46">
        <f>IF(OR($A60="",N(C34)=0),"",C8/C34)</f>
        <v>0.896990740740741</v>
      </c>
      <c r="D60" s="46">
        <f>IF(OR($A60="",N(D34)=0),"",D8/D34)</f>
        <v>0.640740740740741</v>
      </c>
      <c r="E60" s="46">
        <f>IF(OR($A60="",N(E34)=0),"",E8/E34)</f>
        <v>0.0</v>
      </c>
      <c r="F60" s="46">
        <f>IF(OR($A60="",N(F34)=0),"",F8/F34)</f>
        <v>0.0</v>
      </c>
      <c r="G60" s="46">
        <f>IF(OR($A60="",N(G34)=0),"",G8/G34)</f>
        <v>0.0</v>
      </c>
      <c r="H60" s="46">
        <f>IF(OR($A60="",N(H34)=0),"",H8/H34)</f>
        <v>0.0</v>
      </c>
      <c r="I60" s="46">
        <f>IF(OR($A60="",N(I34)=0),"",I8/I34)</f>
        <v>0.0</v>
      </c>
      <c r="J60" s="46">
        <f>IF(OR($A60="",N(J34)=0),"",J8/J34)</f>
        <v>0.0</v>
      </c>
      <c r="K60" s="46">
        <f>IF(OR($A60="",N(K34)=0),"",K8/K34)</f>
        <v>0.0</v>
      </c>
      <c r="L60" s="46">
        <f>IF(OR($A60="",N(L34)=0),"",L8/L34)</f>
        <v>0.0</v>
      </c>
      <c r="M60" s="46">
        <f>IF(OR($A60="",N(M34)=0),"",M8/M34)</f>
        <v>0.0</v>
      </c>
      <c r="N60" s="46">
        <f>IF(OR($A60="",N(N34)=0),"",N8/N34)</f>
        <v>0.0</v>
      </c>
    </row>
    <row r="61">
      <c r="A61" s="82" t="str">
        <f>IF(INDEX(po_code,2)="","",INDEX(po_code,2))</f>
        <v>TOUR</v>
      </c>
      <c r="B61" s="83" t="str">
        <f>IF(A61="","",INDEX(po_name,2)&amp;"")</f>
        <v>Tour CN</v>
      </c>
      <c r="C61" s="46">
        <f>IF(OR($A61="",N(C35)=0),"",C9/C35)</f>
        <v>0.870863970588235</v>
      </c>
      <c r="D61" s="46">
        <f>IF(OR($A61="",N(D35)=0),"",D9/D35)</f>
        <v>0.792279411764706</v>
      </c>
      <c r="E61" s="46">
        <f>IF(OR($A61="",N(E35)=0),"",E9/E35)</f>
        <v>0.804227941176471</v>
      </c>
      <c r="F61" s="46">
        <f>IF(OR($A61="",N(F35)=0),"",F9/F35)</f>
        <v>0.830882352941177</v>
      </c>
      <c r="G61" s="46">
        <f>IF(OR($A61="",N(G35)=0),"",G9/G35)</f>
        <v>0.558823529411765</v>
      </c>
      <c r="H61" s="46">
        <f>IF(OR($A61="",N(H35)=0),"",H9/H35)</f>
        <v>0.0</v>
      </c>
      <c r="I61" s="46">
        <f>IF(OR($A61="",N(I35)=0),"",I9/I35)</f>
        <v>0.0</v>
      </c>
      <c r="J61" s="46">
        <f>IF(OR($A61="",N(J35)=0),"",J9/J35)</f>
        <v>0.0</v>
      </c>
      <c r="K61" s="46">
        <f>IF(OR($A61="",N(K35)=0),"",K9/K35)</f>
        <v>0.0</v>
      </c>
      <c r="L61" s="46">
        <f>IF(OR($A61="",N(L35)=0),"",L9/L35)</f>
        <v>0.0</v>
      </c>
      <c r="M61" s="46">
        <f>IF(OR($A61="",N(M35)=0),"",M9/M35)</f>
        <v>0.0</v>
      </c>
      <c r="N61" s="46">
        <f>IF(OR($A61="",N(N35)=0),"",N9/N35)</f>
        <v>0.0</v>
      </c>
    </row>
    <row r="62">
      <c r="A62" s="82" t="str">
        <f>IF(INDEX(po_code,3)="","",INDEX(po_code,3))</f>
        <v>FRAIS</v>
      </c>
      <c r="B62" s="83" t="str">
        <f>IF(A62="","",INDEX(po_name,3)&amp;"")</f>
        <v>Centre d'usinage</v>
      </c>
      <c r="C62" s="46">
        <f>IF(OR($A62="",N(C36)=0),"",C10/C36)</f>
        <v>0.772058823529412</v>
      </c>
      <c r="D62" s="46">
        <f>IF(OR($A62="",N(D36)=0),"",D10/D36)</f>
        <v>0.897058823529412</v>
      </c>
      <c r="E62" s="46">
        <f>IF(OR($A62="",N(E36)=0),"",E10/E36)</f>
        <v>0.909926470588235</v>
      </c>
      <c r="F62" s="46">
        <f>IF(OR($A62="",N(F36)=0),"",F10/F36)</f>
        <v>0.857843137254902</v>
      </c>
      <c r="G62" s="46">
        <f>IF(OR($A62="",N(G36)=0),"",G10/G36)</f>
        <v>0.17156862745098</v>
      </c>
      <c r="H62" s="46">
        <f>IF(OR($A62="",N(H36)=0),"",H10/H36)</f>
        <v>0.848529411764706</v>
      </c>
      <c r="I62" s="46">
        <f>IF(OR($A62="",N(I36)=0),"",I10/I36)</f>
        <v>0.35</v>
      </c>
      <c r="J62" s="46">
        <f>IF(OR($A62="",N(J36)=0),"",J10/J36)</f>
        <v>0.0</v>
      </c>
      <c r="K62" s="46">
        <f>IF(OR($A62="",N(K36)=0),"",K10/K36)</f>
        <v>0.0</v>
      </c>
      <c r="L62" s="46">
        <f>IF(OR($A62="",N(L36)=0),"",L10/L36)</f>
        <v>0.0</v>
      </c>
      <c r="M62" s="46">
        <f>IF(OR($A62="",N(M36)=0),"",M10/M36)</f>
        <v>0.0</v>
      </c>
      <c r="N62" s="46">
        <f>IF(OR($A62="",N(N36)=0),"",N10/N36)</f>
        <v>0.0</v>
      </c>
    </row>
    <row r="63">
      <c r="A63" s="82" t="str">
        <f>IF(INDEX(po_code,4)="","",INDEX(po_code,4))</f>
        <v>PLIE</v>
      </c>
      <c r="B63" s="83" t="str">
        <f>IF(A63="","",INDEX(po_name,4)&amp;"")</f>
        <v>Plieuse</v>
      </c>
      <c r="C63" s="46">
        <f>IF(OR($A63="",N(C37)=0),"",C11/C37)</f>
        <v>0.899305555555556</v>
      </c>
      <c r="D63" s="46">
        <f>IF(OR($A63="",N(D37)=0),"",D11/D37)</f>
        <v>0.861111111111111</v>
      </c>
      <c r="E63" s="46">
        <f>IF(OR($A63="",N(E37)=0),"",E11/E37)</f>
        <v>0.895833333333333</v>
      </c>
      <c r="F63" s="46">
        <f>IF(OR($A63="",N(F37)=0),"",F11/F37)</f>
        <v>0.944444444444444</v>
      </c>
      <c r="G63" s="46">
        <f>IF(OR($A63="",N(G37)=0),"",G11/G37)</f>
        <v>0.794444444444445</v>
      </c>
      <c r="H63" s="46">
        <f>IF(OR($A63="",N(H37)=0),"",H11/H37)</f>
        <v>0.152777777777778</v>
      </c>
      <c r="I63" s="46">
        <f>IF(OR($A63="",N(I37)=0),"",I11/I37)</f>
        <v>0.0</v>
      </c>
      <c r="J63" s="46">
        <f>IF(OR($A63="",N(J37)=0),"",J11/J37)</f>
        <v>0.0</v>
      </c>
      <c r="K63" s="46">
        <f>IF(OR($A63="",N(K37)=0),"",K11/K37)</f>
        <v>0.0</v>
      </c>
      <c r="L63" s="46">
        <f>IF(OR($A63="",N(L37)=0),"",L11/L37)</f>
        <v>0.0</v>
      </c>
      <c r="M63" s="46">
        <f>IF(OR($A63="",N(M37)=0),"",M11/M37)</f>
        <v>0.0</v>
      </c>
      <c r="N63" s="46">
        <f>IF(OR($A63="",N(N37)=0),"",N11/N37)</f>
        <v>0.0</v>
      </c>
    </row>
    <row r="64">
      <c r="A64" s="82" t="str">
        <f>IF(INDEX(po_code,5)="","",INDEX(po_code,5))</f>
        <v>SOUD</v>
      </c>
      <c r="B64" s="83" t="str">
        <f>IF(A64="","",INDEX(po_name,5)&amp;"")</f>
        <v>Soudure</v>
      </c>
      <c r="C64" s="46">
        <f>IF(OR($A64="",N(C38)=0),"",C12/C38)</f>
        <v>0.775578703703704</v>
      </c>
      <c r="D64" s="46">
        <f>IF(OR($A64="",N(D38)=0),"",D12/D38)</f>
        <v>0.87724537037037</v>
      </c>
      <c r="E64" s="46">
        <f>IF(OR($A64="",N(E38)=0),"",E12/E38)</f>
        <v>0.891822916666667</v>
      </c>
      <c r="F64" s="46">
        <f>IF(OR($A64="",N(F38)=0),"",F12/F38)</f>
        <v>0.918555555555556</v>
      </c>
      <c r="G64" s="46">
        <f>IF(OR($A64="",N(G38)=0),"",G12/G38)</f>
        <v>0.0</v>
      </c>
      <c r="H64" s="46">
        <f>IF(OR($A64="",N(H38)=0),"",H12/H38)</f>
        <v>0.0</v>
      </c>
      <c r="I64" s="46">
        <f>IF(OR($A64="",N(I38)=0),"",I12/I38)</f>
        <v>0.0</v>
      </c>
      <c r="J64" s="46">
        <f>IF(OR($A64="",N(J38)=0),"",J12/J38)</f>
        <v>0.0</v>
      </c>
      <c r="K64" s="46">
        <f>IF(OR($A64="",N(K38)=0),"",K12/K38)</f>
        <v>0.0</v>
      </c>
      <c r="L64" s="46">
        <f>IF(OR($A64="",N(L38)=0),"",L12/L38)</f>
        <v>0.0</v>
      </c>
      <c r="M64" s="46">
        <f>IF(OR($A64="",N(M38)=0),"",M12/M38)</f>
        <v>0.0</v>
      </c>
      <c r="N64" s="46">
        <f>IF(OR($A64="",N(N38)=0),"",N12/N38)</f>
        <v>0.0</v>
      </c>
    </row>
    <row r="65">
      <c r="A65" s="82" t="str">
        <f>IF(INDEX(po_code,6)="","",INDEX(po_code,6))</f>
        <v>PEINT</v>
      </c>
      <c r="B65" s="83" t="str">
        <f>IF(A65="","",INDEX(po_name,6)&amp;"")</f>
        <v>Cabine de peinture</v>
      </c>
      <c r="C65" s="46">
        <f>IF(OR($A65="",N(C39)=0),"",C13/C39)</f>
        <v>0.0</v>
      </c>
      <c r="D65" s="46">
        <f>IF(OR($A65="",N(D39)=0),"",D13/D39)</f>
        <v>0.107894736842105</v>
      </c>
      <c r="E65" s="46">
        <f>IF(OR($A65="",N(E39)=0),"",E13/E39)</f>
        <v>0.0</v>
      </c>
      <c r="F65" s="46">
        <f>IF(OR($A65="",N(F39)=0),"",F13/F39)</f>
        <v>0.171052631578947</v>
      </c>
      <c r="G65" s="46">
        <f>IF(OR($A65="",N(G39)=0),"",G13/G39)</f>
        <v>0.0</v>
      </c>
      <c r="H65" s="46">
        <f>IF(OR($A65="",N(H39)=0),"",H13/H39)</f>
        <v>0.0</v>
      </c>
      <c r="I65" s="46">
        <f>IF(OR($A65="",N(I39)=0),"",I13/I39)</f>
        <v>0.0</v>
      </c>
      <c r="J65" s="46">
        <f>IF(OR($A65="",N(J39)=0),"",J13/J39)</f>
        <v>0.0</v>
      </c>
      <c r="K65" s="46">
        <f>IF(OR($A65="",N(K39)=0),"",K13/K39)</f>
        <v>0.0</v>
      </c>
      <c r="L65" s="46">
        <f>IF(OR($A65="",N(L39)=0),"",L13/L39)</f>
        <v>0.0</v>
      </c>
      <c r="M65" s="46">
        <f>IF(OR($A65="",N(M39)=0),"",M13/M39)</f>
        <v>0.0</v>
      </c>
      <c r="N65" s="46">
        <f>IF(OR($A65="",N(N39)=0),"",N13/N39)</f>
        <v>0.0</v>
      </c>
    </row>
    <row r="66">
      <c r="A66" s="82" t="str">
        <f>IF(INDEX(po_code,7)="","",INDEX(po_code,7))</f>
        <v>MONT</v>
      </c>
      <c r="B66" s="83" t="str">
        <f>IF(A66="","",INDEX(po_name,7)&amp;"")</f>
        <v>Montage</v>
      </c>
      <c r="C66" s="46">
        <f>IF(OR($A66="",N(C40)=0),"",C14/C40)</f>
        <v>0.928947368421053</v>
      </c>
      <c r="D66" s="46">
        <f>IF(OR($A66="",N(D40)=0),"",D14/D40)</f>
        <v>0.892105263157895</v>
      </c>
      <c r="E66" s="46">
        <f>IF(OR($A66="",N(E40)=0),"",E14/E40)</f>
        <v>0.894901315789474</v>
      </c>
      <c r="F66" s="46">
        <f>IF(OR($A66="",N(F40)=0),"",F14/F40)</f>
        <v>0.558552631578947</v>
      </c>
      <c r="G66" s="46">
        <f>IF(OR($A66="",N(G40)=0),"",G14/G40)</f>
        <v>0.0</v>
      </c>
      <c r="H66" s="46">
        <f>IF(OR($A66="",N(H40)=0),"",H14/H40)</f>
        <v>0.0</v>
      </c>
      <c r="I66" s="46">
        <f>IF(OR($A66="",N(I40)=0),"",I14/I40)</f>
        <v>0.0</v>
      </c>
      <c r="J66" s="46">
        <f>IF(OR($A66="",N(J40)=0),"",J14/J40)</f>
        <v>0.0</v>
      </c>
      <c r="K66" s="46">
        <f>IF(OR($A66="",N(K40)=0),"",K14/K40)</f>
        <v>0.0</v>
      </c>
      <c r="L66" s="46">
        <f>IF(OR($A66="",N(L40)=0),"",L14/L40)</f>
        <v>0.0</v>
      </c>
      <c r="M66" s="46">
        <f>IF(OR($A66="",N(M40)=0),"",M14/M40)</f>
        <v>0.0</v>
      </c>
      <c r="N66" s="46">
        <f>IF(OR($A66="",N(N40)=0),"",N14/N40)</f>
        <v>0.0</v>
      </c>
    </row>
    <row r="67">
      <c r="A67" s="82" t="str">
        <f>IF(INDEX(po_code,8)="","",INDEX(po_code,8))</f>
        <v/>
      </c>
      <c r="B67" s="83" t="str">
        <f>IF(A67="","",INDEX(po_name,8)&amp;"")</f>
        <v/>
      </c>
      <c r="C67" s="46" t="str">
        <f>IF(OR($A67="",N(C41)=0),"",C15/C41)</f>
        <v/>
      </c>
      <c r="D67" s="46" t="str">
        <f>IF(OR($A67="",N(D41)=0),"",D15/D41)</f>
        <v/>
      </c>
      <c r="E67" s="46" t="str">
        <f>IF(OR($A67="",N(E41)=0),"",E15/E41)</f>
        <v/>
      </c>
      <c r="F67" s="46" t="str">
        <f>IF(OR($A67="",N(F41)=0),"",F15/F41)</f>
        <v/>
      </c>
      <c r="G67" s="46" t="str">
        <f>IF(OR($A67="",N(G41)=0),"",G15/G41)</f>
        <v/>
      </c>
      <c r="H67" s="46" t="str">
        <f>IF(OR($A67="",N(H41)=0),"",H15/H41)</f>
        <v/>
      </c>
      <c r="I67" s="46" t="str">
        <f>IF(OR($A67="",N(I41)=0),"",I15/I41)</f>
        <v/>
      </c>
      <c r="J67" s="46" t="str">
        <f>IF(OR($A67="",N(J41)=0),"",J15/J41)</f>
        <v/>
      </c>
      <c r="K67" s="46" t="str">
        <f>IF(OR($A67="",N(K41)=0),"",K15/K41)</f>
        <v/>
      </c>
      <c r="L67" s="46" t="str">
        <f>IF(OR($A67="",N(L41)=0),"",L15/L41)</f>
        <v/>
      </c>
      <c r="M67" s="46" t="str">
        <f>IF(OR($A67="",N(M41)=0),"",M15/M41)</f>
        <v/>
      </c>
      <c r="N67" s="46" t="str">
        <f>IF(OR($A67="",N(N41)=0),"",N15/N41)</f>
        <v/>
      </c>
    </row>
    <row r="68">
      <c r="A68" s="82" t="str">
        <f>IF(INDEX(po_code,9)="","",INDEX(po_code,9))</f>
        <v/>
      </c>
      <c r="B68" s="83" t="str">
        <f>IF(A68="","",INDEX(po_name,9)&amp;"")</f>
        <v/>
      </c>
      <c r="C68" s="46" t="str">
        <f>IF(OR($A68="",N(C42)=0),"",C16/C42)</f>
        <v/>
      </c>
      <c r="D68" s="46" t="str">
        <f>IF(OR($A68="",N(D42)=0),"",D16/D42)</f>
        <v/>
      </c>
      <c r="E68" s="46" t="str">
        <f>IF(OR($A68="",N(E42)=0),"",E16/E42)</f>
        <v/>
      </c>
      <c r="F68" s="46" t="str">
        <f>IF(OR($A68="",N(F42)=0),"",F16/F42)</f>
        <v/>
      </c>
      <c r="G68" s="46" t="str">
        <f>IF(OR($A68="",N(G42)=0),"",G16/G42)</f>
        <v/>
      </c>
      <c r="H68" s="46" t="str">
        <f>IF(OR($A68="",N(H42)=0),"",H16/H42)</f>
        <v/>
      </c>
      <c r="I68" s="46" t="str">
        <f>IF(OR($A68="",N(I42)=0),"",I16/I42)</f>
        <v/>
      </c>
      <c r="J68" s="46" t="str">
        <f>IF(OR($A68="",N(J42)=0),"",J16/J42)</f>
        <v/>
      </c>
      <c r="K68" s="46" t="str">
        <f>IF(OR($A68="",N(K42)=0),"",K16/K42)</f>
        <v/>
      </c>
      <c r="L68" s="46" t="str">
        <f>IF(OR($A68="",N(L42)=0),"",L16/L42)</f>
        <v/>
      </c>
      <c r="M68" s="46" t="str">
        <f>IF(OR($A68="",N(M42)=0),"",M16/M42)</f>
        <v/>
      </c>
      <c r="N68" s="46" t="str">
        <f>IF(OR($A68="",N(N42)=0),"",N16/N42)</f>
        <v/>
      </c>
    </row>
    <row r="69">
      <c r="A69" s="82" t="str">
        <f>IF(INDEX(po_code,10)="","",INDEX(po_code,10))</f>
        <v/>
      </c>
      <c r="B69" s="83" t="str">
        <f>IF(A69="","",INDEX(po_name,10)&amp;"")</f>
        <v/>
      </c>
      <c r="C69" s="46" t="str">
        <f>IF(OR($A69="",N(C43)=0),"",C17/C43)</f>
        <v/>
      </c>
      <c r="D69" s="46" t="str">
        <f>IF(OR($A69="",N(D43)=0),"",D17/D43)</f>
        <v/>
      </c>
      <c r="E69" s="46" t="str">
        <f>IF(OR($A69="",N(E43)=0),"",E17/E43)</f>
        <v/>
      </c>
      <c r="F69" s="46" t="str">
        <f>IF(OR($A69="",N(F43)=0),"",F17/F43)</f>
        <v/>
      </c>
      <c r="G69" s="46" t="str">
        <f>IF(OR($A69="",N(G43)=0),"",G17/G43)</f>
        <v/>
      </c>
      <c r="H69" s="46" t="str">
        <f>IF(OR($A69="",N(H43)=0),"",H17/H43)</f>
        <v/>
      </c>
      <c r="I69" s="46" t="str">
        <f>IF(OR($A69="",N(I43)=0),"",I17/I43)</f>
        <v/>
      </c>
      <c r="J69" s="46" t="str">
        <f>IF(OR($A69="",N(J43)=0),"",J17/J43)</f>
        <v/>
      </c>
      <c r="K69" s="46" t="str">
        <f>IF(OR($A69="",N(K43)=0),"",K17/K43)</f>
        <v/>
      </c>
      <c r="L69" s="46" t="str">
        <f>IF(OR($A69="",N(L43)=0),"",L17/L43)</f>
        <v/>
      </c>
      <c r="M69" s="46" t="str">
        <f>IF(OR($A69="",N(M43)=0),"",M17/M43)</f>
        <v/>
      </c>
      <c r="N69" s="46" t="str">
        <f>IF(OR($A69="",N(N43)=0),"",N17/N43)</f>
        <v/>
      </c>
    </row>
    <row r="70">
      <c r="A70" s="82" t="str">
        <f>IF(INDEX(po_code,11)="","",INDEX(po_code,11))</f>
        <v/>
      </c>
      <c r="B70" s="83" t="str">
        <f>IF(A70="","",INDEX(po_name,11)&amp;"")</f>
        <v/>
      </c>
      <c r="C70" s="46" t="str">
        <f>IF(OR($A70="",N(C44)=0),"",C18/C44)</f>
        <v/>
      </c>
      <c r="D70" s="46" t="str">
        <f>IF(OR($A70="",N(D44)=0),"",D18/D44)</f>
        <v/>
      </c>
      <c r="E70" s="46" t="str">
        <f>IF(OR($A70="",N(E44)=0),"",E18/E44)</f>
        <v/>
      </c>
      <c r="F70" s="46" t="str">
        <f>IF(OR($A70="",N(F44)=0),"",F18/F44)</f>
        <v/>
      </c>
      <c r="G70" s="46" t="str">
        <f>IF(OR($A70="",N(G44)=0),"",G18/G44)</f>
        <v/>
      </c>
      <c r="H70" s="46" t="str">
        <f>IF(OR($A70="",N(H44)=0),"",H18/H44)</f>
        <v/>
      </c>
      <c r="I70" s="46" t="str">
        <f>IF(OR($A70="",N(I44)=0),"",I18/I44)</f>
        <v/>
      </c>
      <c r="J70" s="46" t="str">
        <f>IF(OR($A70="",N(J44)=0),"",J18/J44)</f>
        <v/>
      </c>
      <c r="K70" s="46" t="str">
        <f>IF(OR($A70="",N(K44)=0),"",K18/K44)</f>
        <v/>
      </c>
      <c r="L70" s="46" t="str">
        <f>IF(OR($A70="",N(L44)=0),"",L18/L44)</f>
        <v/>
      </c>
      <c r="M70" s="46" t="str">
        <f>IF(OR($A70="",N(M44)=0),"",M18/M44)</f>
        <v/>
      </c>
      <c r="N70" s="46" t="str">
        <f>IF(OR($A70="",N(N44)=0),"",N18/N44)</f>
        <v/>
      </c>
    </row>
    <row r="71">
      <c r="A71" s="82" t="str">
        <f>IF(INDEX(po_code,12)="","",INDEX(po_code,12))</f>
        <v/>
      </c>
      <c r="B71" s="83" t="str">
        <f>IF(A71="","",INDEX(po_name,12)&amp;"")</f>
        <v/>
      </c>
      <c r="C71" s="46" t="str">
        <f>IF(OR($A71="",N(C45)=0),"",C19/C45)</f>
        <v/>
      </c>
      <c r="D71" s="46" t="str">
        <f>IF(OR($A71="",N(D45)=0),"",D19/D45)</f>
        <v/>
      </c>
      <c r="E71" s="46" t="str">
        <f>IF(OR($A71="",N(E45)=0),"",E19/E45)</f>
        <v/>
      </c>
      <c r="F71" s="46" t="str">
        <f>IF(OR($A71="",N(F45)=0),"",F19/F45)</f>
        <v/>
      </c>
      <c r="G71" s="46" t="str">
        <f>IF(OR($A71="",N(G45)=0),"",G19/G45)</f>
        <v/>
      </c>
      <c r="H71" s="46" t="str">
        <f>IF(OR($A71="",N(H45)=0),"",H19/H45)</f>
        <v/>
      </c>
      <c r="I71" s="46" t="str">
        <f>IF(OR($A71="",N(I45)=0),"",I19/I45)</f>
        <v/>
      </c>
      <c r="J71" s="46" t="str">
        <f>IF(OR($A71="",N(J45)=0),"",J19/J45)</f>
        <v/>
      </c>
      <c r="K71" s="46" t="str">
        <f>IF(OR($A71="",N(K45)=0),"",K19/K45)</f>
        <v/>
      </c>
      <c r="L71" s="46" t="str">
        <f>IF(OR($A71="",N(L45)=0),"",L19/L45)</f>
        <v/>
      </c>
      <c r="M71" s="46" t="str">
        <f>IF(OR($A71="",N(M45)=0),"",M19/M45)</f>
        <v/>
      </c>
      <c r="N71" s="46" t="str">
        <f>IF(OR($A71="",N(N45)=0),"",N19/N45)</f>
        <v/>
      </c>
    </row>
    <row r="72">
      <c r="A72" s="82" t="str">
        <f>IF(INDEX(po_code,13)="","",INDEX(po_code,13))</f>
        <v/>
      </c>
      <c r="B72" s="83" t="str">
        <f>IF(A72="","",INDEX(po_name,13)&amp;"")</f>
        <v/>
      </c>
      <c r="C72" s="46" t="str">
        <f>IF(OR($A72="",N(C46)=0),"",C20/C46)</f>
        <v/>
      </c>
      <c r="D72" s="46" t="str">
        <f>IF(OR($A72="",N(D46)=0),"",D20/D46)</f>
        <v/>
      </c>
      <c r="E72" s="46" t="str">
        <f>IF(OR($A72="",N(E46)=0),"",E20/E46)</f>
        <v/>
      </c>
      <c r="F72" s="46" t="str">
        <f>IF(OR($A72="",N(F46)=0),"",F20/F46)</f>
        <v/>
      </c>
      <c r="G72" s="46" t="str">
        <f>IF(OR($A72="",N(G46)=0),"",G20/G46)</f>
        <v/>
      </c>
      <c r="H72" s="46" t="str">
        <f>IF(OR($A72="",N(H46)=0),"",H20/H46)</f>
        <v/>
      </c>
      <c r="I72" s="46" t="str">
        <f>IF(OR($A72="",N(I46)=0),"",I20/I46)</f>
        <v/>
      </c>
      <c r="J72" s="46" t="str">
        <f>IF(OR($A72="",N(J46)=0),"",J20/J46)</f>
        <v/>
      </c>
      <c r="K72" s="46" t="str">
        <f>IF(OR($A72="",N(K46)=0),"",K20/K46)</f>
        <v/>
      </c>
      <c r="L72" s="46" t="str">
        <f>IF(OR($A72="",N(L46)=0),"",L20/L46)</f>
        <v/>
      </c>
      <c r="M72" s="46" t="str">
        <f>IF(OR($A72="",N(M46)=0),"",M20/M46)</f>
        <v/>
      </c>
      <c r="N72" s="46" t="str">
        <f>IF(OR($A72="",N(N46)=0),"",N20/N46)</f>
        <v/>
      </c>
    </row>
    <row r="73">
      <c r="A73" s="82" t="str">
        <f>IF(INDEX(po_code,14)="","",INDEX(po_code,14))</f>
        <v/>
      </c>
      <c r="B73" s="83" t="str">
        <f>IF(A73="","",INDEX(po_name,14)&amp;"")</f>
        <v/>
      </c>
      <c r="C73" s="46" t="str">
        <f>IF(OR($A73="",N(C47)=0),"",C21/C47)</f>
        <v/>
      </c>
      <c r="D73" s="46" t="str">
        <f>IF(OR($A73="",N(D47)=0),"",D21/D47)</f>
        <v/>
      </c>
      <c r="E73" s="46" t="str">
        <f>IF(OR($A73="",N(E47)=0),"",E21/E47)</f>
        <v/>
      </c>
      <c r="F73" s="46" t="str">
        <f>IF(OR($A73="",N(F47)=0),"",F21/F47)</f>
        <v/>
      </c>
      <c r="G73" s="46" t="str">
        <f>IF(OR($A73="",N(G47)=0),"",G21/G47)</f>
        <v/>
      </c>
      <c r="H73" s="46" t="str">
        <f>IF(OR($A73="",N(H47)=0),"",H21/H47)</f>
        <v/>
      </c>
      <c r="I73" s="46" t="str">
        <f>IF(OR($A73="",N(I47)=0),"",I21/I47)</f>
        <v/>
      </c>
      <c r="J73" s="46" t="str">
        <f>IF(OR($A73="",N(J47)=0),"",J21/J47)</f>
        <v/>
      </c>
      <c r="K73" s="46" t="str">
        <f>IF(OR($A73="",N(K47)=0),"",K21/K47)</f>
        <v/>
      </c>
      <c r="L73" s="46" t="str">
        <f>IF(OR($A73="",N(L47)=0),"",L21/L47)</f>
        <v/>
      </c>
      <c r="M73" s="46" t="str">
        <f>IF(OR($A73="",N(M47)=0),"",M21/M47)</f>
        <v/>
      </c>
      <c r="N73" s="46" t="str">
        <f>IF(OR($A73="",N(N47)=0),"",N21/N47)</f>
        <v/>
      </c>
    </row>
    <row r="74">
      <c r="A74" s="82" t="str">
        <f>IF(INDEX(po_code,15)="","",INDEX(po_code,15))</f>
        <v/>
      </c>
      <c r="B74" s="83" t="str">
        <f>IF(A74="","",INDEX(po_name,15)&amp;"")</f>
        <v/>
      </c>
      <c r="C74" s="46" t="str">
        <f>IF(OR($A74="",N(C48)=0),"",C22/C48)</f>
        <v/>
      </c>
      <c r="D74" s="46" t="str">
        <f>IF(OR($A74="",N(D48)=0),"",D22/D48)</f>
        <v/>
      </c>
      <c r="E74" s="46" t="str">
        <f>IF(OR($A74="",N(E48)=0),"",E22/E48)</f>
        <v/>
      </c>
      <c r="F74" s="46" t="str">
        <f>IF(OR($A74="",N(F48)=0),"",F22/F48)</f>
        <v/>
      </c>
      <c r="G74" s="46" t="str">
        <f>IF(OR($A74="",N(G48)=0),"",G22/G48)</f>
        <v/>
      </c>
      <c r="H74" s="46" t="str">
        <f>IF(OR($A74="",N(H48)=0),"",H22/H48)</f>
        <v/>
      </c>
      <c r="I74" s="46" t="str">
        <f>IF(OR($A74="",N(I48)=0),"",I22/I48)</f>
        <v/>
      </c>
      <c r="J74" s="46" t="str">
        <f>IF(OR($A74="",N(J48)=0),"",J22/J48)</f>
        <v/>
      </c>
      <c r="K74" s="46" t="str">
        <f>IF(OR($A74="",N(K48)=0),"",K22/K48)</f>
        <v/>
      </c>
      <c r="L74" s="46" t="str">
        <f>IF(OR($A74="",N(L48)=0),"",L22/L48)</f>
        <v/>
      </c>
      <c r="M74" s="46" t="str">
        <f>IF(OR($A74="",N(M48)=0),"",M22/M48)</f>
        <v/>
      </c>
      <c r="N74" s="46" t="str">
        <f>IF(OR($A74="",N(N48)=0),"",N22/N48)</f>
        <v/>
      </c>
    </row>
    <row r="75">
      <c r="A75" s="82" t="str">
        <f>IF(INDEX(po_code,16)="","",INDEX(po_code,16))</f>
        <v/>
      </c>
      <c r="B75" s="83" t="str">
        <f>IF(A75="","",INDEX(po_name,16)&amp;"")</f>
        <v/>
      </c>
      <c r="C75" s="46" t="str">
        <f>IF(OR($A75="",N(C49)=0),"",C23/C49)</f>
        <v/>
      </c>
      <c r="D75" s="46" t="str">
        <f>IF(OR($A75="",N(D49)=0),"",D23/D49)</f>
        <v/>
      </c>
      <c r="E75" s="46" t="str">
        <f>IF(OR($A75="",N(E49)=0),"",E23/E49)</f>
        <v/>
      </c>
      <c r="F75" s="46" t="str">
        <f>IF(OR($A75="",N(F49)=0),"",F23/F49)</f>
        <v/>
      </c>
      <c r="G75" s="46" t="str">
        <f>IF(OR($A75="",N(G49)=0),"",G23/G49)</f>
        <v/>
      </c>
      <c r="H75" s="46" t="str">
        <f>IF(OR($A75="",N(H49)=0),"",H23/H49)</f>
        <v/>
      </c>
      <c r="I75" s="46" t="str">
        <f>IF(OR($A75="",N(I49)=0),"",I23/I49)</f>
        <v/>
      </c>
      <c r="J75" s="46" t="str">
        <f>IF(OR($A75="",N(J49)=0),"",J23/J49)</f>
        <v/>
      </c>
      <c r="K75" s="46" t="str">
        <f>IF(OR($A75="",N(K49)=0),"",K23/K49)</f>
        <v/>
      </c>
      <c r="L75" s="46" t="str">
        <f>IF(OR($A75="",N(L49)=0),"",L23/L49)</f>
        <v/>
      </c>
      <c r="M75" s="46" t="str">
        <f>IF(OR($A75="",N(M49)=0),"",M23/M49)</f>
        <v/>
      </c>
      <c r="N75" s="46" t="str">
        <f>IF(OR($A75="",N(N49)=0),"",N23/N49)</f>
        <v/>
      </c>
    </row>
    <row r="76">
      <c r="A76" s="82" t="str">
        <f>IF(INDEX(po_code,17)="","",INDEX(po_code,17))</f>
        <v/>
      </c>
      <c r="B76" s="83" t="str">
        <f>IF(A76="","",INDEX(po_name,17)&amp;"")</f>
        <v/>
      </c>
      <c r="C76" s="46" t="str">
        <f>IF(OR($A76="",N(C50)=0),"",C24/C50)</f>
        <v/>
      </c>
      <c r="D76" s="46" t="str">
        <f>IF(OR($A76="",N(D50)=0),"",D24/D50)</f>
        <v/>
      </c>
      <c r="E76" s="46" t="str">
        <f>IF(OR($A76="",N(E50)=0),"",E24/E50)</f>
        <v/>
      </c>
      <c r="F76" s="46" t="str">
        <f>IF(OR($A76="",N(F50)=0),"",F24/F50)</f>
        <v/>
      </c>
      <c r="G76" s="46" t="str">
        <f>IF(OR($A76="",N(G50)=0),"",G24/G50)</f>
        <v/>
      </c>
      <c r="H76" s="46" t="str">
        <f>IF(OR($A76="",N(H50)=0),"",H24/H50)</f>
        <v/>
      </c>
      <c r="I76" s="46" t="str">
        <f>IF(OR($A76="",N(I50)=0),"",I24/I50)</f>
        <v/>
      </c>
      <c r="J76" s="46" t="str">
        <f>IF(OR($A76="",N(J50)=0),"",J24/J50)</f>
        <v/>
      </c>
      <c r="K76" s="46" t="str">
        <f>IF(OR($A76="",N(K50)=0),"",K24/K50)</f>
        <v/>
      </c>
      <c r="L76" s="46" t="str">
        <f>IF(OR($A76="",N(L50)=0),"",L24/L50)</f>
        <v/>
      </c>
      <c r="M76" s="46" t="str">
        <f>IF(OR($A76="",N(M50)=0),"",M24/M50)</f>
        <v/>
      </c>
      <c r="N76" s="46" t="str">
        <f>IF(OR($A76="",N(N50)=0),"",N24/N50)</f>
        <v/>
      </c>
    </row>
    <row r="77">
      <c r="A77" s="82" t="str">
        <f>IF(INDEX(po_code,18)="","",INDEX(po_code,18))</f>
        <v/>
      </c>
      <c r="B77" s="83" t="str">
        <f>IF(A77="","",INDEX(po_name,18)&amp;"")</f>
        <v/>
      </c>
      <c r="C77" s="46" t="str">
        <f>IF(OR($A77="",N(C51)=0),"",C25/C51)</f>
        <v/>
      </c>
      <c r="D77" s="46" t="str">
        <f>IF(OR($A77="",N(D51)=0),"",D25/D51)</f>
        <v/>
      </c>
      <c r="E77" s="46" t="str">
        <f>IF(OR($A77="",N(E51)=0),"",E25/E51)</f>
        <v/>
      </c>
      <c r="F77" s="46" t="str">
        <f>IF(OR($A77="",N(F51)=0),"",F25/F51)</f>
        <v/>
      </c>
      <c r="G77" s="46" t="str">
        <f>IF(OR($A77="",N(G51)=0),"",G25/G51)</f>
        <v/>
      </c>
      <c r="H77" s="46" t="str">
        <f>IF(OR($A77="",N(H51)=0),"",H25/H51)</f>
        <v/>
      </c>
      <c r="I77" s="46" t="str">
        <f>IF(OR($A77="",N(I51)=0),"",I25/I51)</f>
        <v/>
      </c>
      <c r="J77" s="46" t="str">
        <f>IF(OR($A77="",N(J51)=0),"",J25/J51)</f>
        <v/>
      </c>
      <c r="K77" s="46" t="str">
        <f>IF(OR($A77="",N(K51)=0),"",K25/K51)</f>
        <v/>
      </c>
      <c r="L77" s="46" t="str">
        <f>IF(OR($A77="",N(L51)=0),"",L25/L51)</f>
        <v/>
      </c>
      <c r="M77" s="46" t="str">
        <f>IF(OR($A77="",N(M51)=0),"",M25/M51)</f>
        <v/>
      </c>
      <c r="N77" s="46" t="str">
        <f>IF(OR($A77="",N(N51)=0),"",N25/N51)</f>
        <v/>
      </c>
    </row>
    <row r="78">
      <c r="A78" s="82" t="str">
        <f>IF(INDEX(po_code,19)="","",INDEX(po_code,19))</f>
        <v/>
      </c>
      <c r="B78" s="83" t="str">
        <f>IF(A78="","",INDEX(po_name,19)&amp;"")</f>
        <v/>
      </c>
      <c r="C78" s="46" t="str">
        <f>IF(OR($A78="",N(C52)=0),"",C26/C52)</f>
        <v/>
      </c>
      <c r="D78" s="46" t="str">
        <f>IF(OR($A78="",N(D52)=0),"",D26/D52)</f>
        <v/>
      </c>
      <c r="E78" s="46" t="str">
        <f>IF(OR($A78="",N(E52)=0),"",E26/E52)</f>
        <v/>
      </c>
      <c r="F78" s="46" t="str">
        <f>IF(OR($A78="",N(F52)=0),"",F26/F52)</f>
        <v/>
      </c>
      <c r="G78" s="46" t="str">
        <f>IF(OR($A78="",N(G52)=0),"",G26/G52)</f>
        <v/>
      </c>
      <c r="H78" s="46" t="str">
        <f>IF(OR($A78="",N(H52)=0),"",H26/H52)</f>
        <v/>
      </c>
      <c r="I78" s="46" t="str">
        <f>IF(OR($A78="",N(I52)=0),"",I26/I52)</f>
        <v/>
      </c>
      <c r="J78" s="46" t="str">
        <f>IF(OR($A78="",N(J52)=0),"",J26/J52)</f>
        <v/>
      </c>
      <c r="K78" s="46" t="str">
        <f>IF(OR($A78="",N(K52)=0),"",K26/K52)</f>
        <v/>
      </c>
      <c r="L78" s="46" t="str">
        <f>IF(OR($A78="",N(L52)=0),"",L26/L52)</f>
        <v/>
      </c>
      <c r="M78" s="46" t="str">
        <f>IF(OR($A78="",N(M52)=0),"",M26/M52)</f>
        <v/>
      </c>
      <c r="N78" s="46" t="str">
        <f>IF(OR($A78="",N(N52)=0),"",N26/N52)</f>
        <v/>
      </c>
    </row>
    <row r="79">
      <c r="A79" s="82" t="str">
        <f>IF(INDEX(po_code,20)="","",INDEX(po_code,20))</f>
        <v/>
      </c>
      <c r="B79" s="83" t="str">
        <f>IF(A79="","",INDEX(po_name,20)&amp;"")</f>
        <v/>
      </c>
      <c r="C79" s="46" t="str">
        <f>IF(OR($A79="",N(C53)=0),"",C27/C53)</f>
        <v/>
      </c>
      <c r="D79" s="46" t="str">
        <f>IF(OR($A79="",N(D53)=0),"",D27/D53)</f>
        <v/>
      </c>
      <c r="E79" s="46" t="str">
        <f>IF(OR($A79="",N(E53)=0),"",E27/E53)</f>
        <v/>
      </c>
      <c r="F79" s="46" t="str">
        <f>IF(OR($A79="",N(F53)=0),"",F27/F53)</f>
        <v/>
      </c>
      <c r="G79" s="46" t="str">
        <f>IF(OR($A79="",N(G53)=0),"",G27/G53)</f>
        <v/>
      </c>
      <c r="H79" s="46" t="str">
        <f>IF(OR($A79="",N(H53)=0),"",H27/H53)</f>
        <v/>
      </c>
      <c r="I79" s="46" t="str">
        <f>IF(OR($A79="",N(I53)=0),"",I27/I53)</f>
        <v/>
      </c>
      <c r="J79" s="46" t="str">
        <f>IF(OR($A79="",N(J53)=0),"",J27/J53)</f>
        <v/>
      </c>
      <c r="K79" s="46" t="str">
        <f>IF(OR($A79="",N(K53)=0),"",K27/K53)</f>
        <v/>
      </c>
      <c r="L79" s="46" t="str">
        <f>IF(OR($A79="",N(L53)=0),"",L27/L53)</f>
        <v/>
      </c>
      <c r="M79" s="46" t="str">
        <f>IF(OR($A79="",N(M53)=0),"",M27/M53)</f>
        <v/>
      </c>
      <c r="N79" s="46" t="str">
        <f>IF(OR($A79="",N(N53)=0),"",N27/N53)</f>
        <v/>
      </c>
    </row>
    <row r="80">
      <c r="A80" s="79" t="n"/>
      <c r="B80" s="85" t="inlineStr">
        <is>
          <t>Total atelier</t>
        </is>
      </c>
      <c r="C80" s="87">
        <f>IF(N(C54)=0,"",C28/C54)</f>
        <v>0.74876953125</v>
      </c>
      <c r="D80" s="87">
        <f>IF(N(D54)=0,"",D28/D54)</f>
        <v>0.7453828125</v>
      </c>
      <c r="E80" s="87">
        <f>IF(N(E54)=0,"",E28/E54)</f>
        <v>0.671638671875</v>
      </c>
      <c r="F80" s="87">
        <f>IF(N(F54)=0,"",F28/F54)</f>
        <v>0.655082291666667</v>
      </c>
      <c r="G80" s="87">
        <f>IF(N(G54)=0,"",G28/G54)</f>
        <v>0.244583333333333</v>
      </c>
      <c r="H80" s="87">
        <f>IF(N(H54)=0,"",H28/H54)</f>
        <v>0.1975</v>
      </c>
      <c r="I80" s="87">
        <f>IF(N(I54)=0,"",I28/I54)</f>
        <v>0.074375</v>
      </c>
      <c r="J80" s="87">
        <f>IF(N(J54)=0,"",J28/J54)</f>
        <v>0.0</v>
      </c>
      <c r="K80" s="87">
        <f>IF(N(K54)=0,"",K28/K54)</f>
        <v>0.0</v>
      </c>
      <c r="L80" s="87">
        <f>IF(N(L54)=0,"",L28/L54)</f>
        <v>0.0</v>
      </c>
      <c r="M80" s="87">
        <f>IF(N(M54)=0,"",M28/M54)</f>
        <v>0.0</v>
      </c>
      <c r="N80" s="87">
        <f>IF(N(N54)=0,"",N28/N54)</f>
        <v>0.0</v>
      </c>
    </row>
    <row r="88" ht="22" customHeight="1">
      <c r="A88" s="5" t="inlineStr">
        <is>
          <t>Détail par jour ouvré (calcul, ne pas modifier)</t>
        </is>
      </c>
      <c r="B88" s="6" t="n"/>
      <c r="C88" s="6" t="n"/>
      <c r="D88" s="6" t="n"/>
      <c r="E88" s="6" t="n"/>
      <c r="F88" s="6" t="n"/>
      <c r="G88" s="6" t="n"/>
      <c r="H88" s="6" t="n"/>
      <c r="I88" s="6" t="n"/>
      <c r="J88" s="6" t="n"/>
      <c r="K88" s="6" t="n"/>
      <c r="L88" s="6" t="n"/>
      <c r="M88" s="6" t="n"/>
      <c r="N88" s="6" t="n"/>
    </row>
    <row r="90">
      <c r="B90" s="67" t="inlineStr">
        <is>
          <t>Jour</t>
        </is>
      </c>
      <c r="C90" s="88">
        <f>WORKDAY.INTL(p_start-1,1,p_weekend,p_holidays)</f>
        <v>46328.0</v>
      </c>
      <c r="D90" s="88">
        <f>WORKDAY.INTL(C90,1,p_weekend,p_holidays)</f>
        <v>46329.0</v>
      </c>
      <c r="E90" s="88">
        <f>WORKDAY.INTL(D90,1,p_weekend,p_holidays)</f>
        <v>46330.0</v>
      </c>
      <c r="F90" s="88">
        <f>WORKDAY.INTL(E90,1,p_weekend,p_holidays)</f>
        <v>46331.0</v>
      </c>
      <c r="G90" s="88">
        <f>WORKDAY.INTL(F90,1,p_weekend,p_holidays)</f>
        <v>46335.0</v>
      </c>
      <c r="H90" s="88">
        <f>WORKDAY.INTL(G90,1,p_weekend,p_holidays)</f>
        <v>46336.0</v>
      </c>
      <c r="I90" s="88">
        <f>WORKDAY.INTL(H90,1,p_weekend,p_holidays)</f>
        <v>46337.0</v>
      </c>
      <c r="J90" s="88">
        <f>WORKDAY.INTL(I90,1,p_weekend,p_holidays)</f>
        <v>46338.0</v>
      </c>
      <c r="K90" s="88">
        <f>WORKDAY.INTL(J90,1,p_weekend,p_holidays)</f>
        <v>46339.0</v>
      </c>
      <c r="L90" s="88">
        <f>WORKDAY.INTL(K90,1,p_weekend,p_holidays)</f>
        <v>46342.0</v>
      </c>
      <c r="M90" s="88">
        <f>WORKDAY.INTL(L90,1,p_weekend,p_holidays)</f>
        <v>46343.0</v>
      </c>
      <c r="N90" s="88">
        <f>WORKDAY.INTL(M90,1,p_weekend,p_holidays)</f>
        <v>46345.0</v>
      </c>
      <c r="O90" s="88">
        <f>WORKDAY.INTL(N90,1,p_weekend,p_holidays)</f>
        <v>46346.0</v>
      </c>
      <c r="P90" s="88">
        <f>WORKDAY.INTL(O90,1,p_weekend,p_holidays)</f>
        <v>46349.0</v>
      </c>
      <c r="Q90" s="88">
        <f>WORKDAY.INTL(P90,1,p_weekend,p_holidays)</f>
        <v>46350.0</v>
      </c>
      <c r="R90" s="88">
        <f>WORKDAY.INTL(Q90,1,p_weekend,p_holidays)</f>
        <v>46351.0</v>
      </c>
      <c r="S90" s="88">
        <f>WORKDAY.INTL(R90,1,p_weekend,p_holidays)</f>
        <v>46352.0</v>
      </c>
      <c r="T90" s="88">
        <f>WORKDAY.INTL(S90,1,p_weekend,p_holidays)</f>
        <v>46353.0</v>
      </c>
      <c r="U90" s="88">
        <f>WORKDAY.INTL(T90,1,p_weekend,p_holidays)</f>
        <v>46356.0</v>
      </c>
      <c r="V90" s="88">
        <f>WORKDAY.INTL(U90,1,p_weekend,p_holidays)</f>
        <v>46357.0</v>
      </c>
      <c r="W90" s="88">
        <f>WORKDAY.INTL(V90,1,p_weekend,p_holidays)</f>
        <v>46358.0</v>
      </c>
      <c r="X90" s="88">
        <f>WORKDAY.INTL(W90,1,p_weekend,p_holidays)</f>
        <v>46359.0</v>
      </c>
      <c r="Y90" s="88">
        <f>WORKDAY.INTL(X90,1,p_weekend,p_holidays)</f>
        <v>46360.0</v>
      </c>
      <c r="Z90" s="88">
        <f>WORKDAY.INTL(Y90,1,p_weekend,p_holidays)</f>
        <v>46363.0</v>
      </c>
      <c r="AA90" s="88">
        <f>WORKDAY.INTL(Z90,1,p_weekend,p_holidays)</f>
        <v>46364.0</v>
      </c>
      <c r="AB90" s="88">
        <f>WORKDAY.INTL(AA90,1,p_weekend,p_holidays)</f>
        <v>46365.0</v>
      </c>
      <c r="AC90" s="88">
        <f>WORKDAY.INTL(AB90,1,p_weekend,p_holidays)</f>
        <v>46366.0</v>
      </c>
      <c r="AD90" s="88">
        <f>WORKDAY.INTL(AC90,1,p_weekend,p_holidays)</f>
        <v>46367.0</v>
      </c>
      <c r="AE90" s="88">
        <f>WORKDAY.INTL(AD90,1,p_weekend,p_holidays)</f>
        <v>46370.0</v>
      </c>
      <c r="AF90" s="88">
        <f>WORKDAY.INTL(AE90,1,p_weekend,p_holidays)</f>
        <v>46371.0</v>
      </c>
      <c r="AG90" s="88">
        <f>WORKDAY.INTL(AF90,1,p_weekend,p_holidays)</f>
        <v>46372.0</v>
      </c>
      <c r="AH90" s="88">
        <f>WORKDAY.INTL(AG90,1,p_weekend,p_holidays)</f>
        <v>46373.0</v>
      </c>
      <c r="AI90" s="88">
        <f>WORKDAY.INTL(AH90,1,p_weekend,p_holidays)</f>
        <v>46374.0</v>
      </c>
      <c r="AJ90" s="88">
        <f>WORKDAY.INTL(AI90,1,p_weekend,p_holidays)</f>
        <v>46377.0</v>
      </c>
      <c r="AK90" s="88">
        <f>WORKDAY.INTL(AJ90,1,p_weekend,p_holidays)</f>
        <v>46378.0</v>
      </c>
      <c r="AL90" s="88">
        <f>WORKDAY.INTL(AK90,1,p_weekend,p_holidays)</f>
        <v>46379.0</v>
      </c>
      <c r="AM90" s="88">
        <f>WORKDAY.INTL(AL90,1,p_weekend,p_holidays)</f>
        <v>46380.0</v>
      </c>
      <c r="AN90" s="88">
        <f>WORKDAY.INTL(AM90,1,p_weekend,p_holidays)</f>
        <v>46381.0</v>
      </c>
      <c r="AO90" s="88">
        <f>WORKDAY.INTL(AN90,1,p_weekend,p_holidays)</f>
        <v>46384.0</v>
      </c>
      <c r="AP90" s="88">
        <f>WORKDAY.INTL(AO90,1,p_weekend,p_holidays)</f>
        <v>46385.0</v>
      </c>
      <c r="AQ90" s="88">
        <f>WORKDAY.INTL(AP90,1,p_weekend,p_holidays)</f>
        <v>46386.0</v>
      </c>
      <c r="AR90" s="88">
        <f>WORKDAY.INTL(AQ90,1,p_weekend,p_holidays)</f>
        <v>46387.0</v>
      </c>
      <c r="AS90" s="88">
        <f>WORKDAY.INTL(AR90,1,p_weekend,p_holidays)</f>
        <v>46391.0</v>
      </c>
      <c r="AT90" s="88">
        <f>WORKDAY.INTL(AS90,1,p_weekend,p_holidays)</f>
        <v>46392.0</v>
      </c>
      <c r="AU90" s="88">
        <f>WORKDAY.INTL(AT90,1,p_weekend,p_holidays)</f>
        <v>46393.0</v>
      </c>
      <c r="AV90" s="88">
        <f>WORKDAY.INTL(AU90,1,p_weekend,p_holidays)</f>
        <v>46394.0</v>
      </c>
      <c r="AW90" s="88">
        <f>WORKDAY.INTL(AV90,1,p_weekend,p_holidays)</f>
        <v>46395.0</v>
      </c>
      <c r="AX90" s="88">
        <f>WORKDAY.INTL(AW90,1,p_weekend,p_holidays)</f>
        <v>46399.0</v>
      </c>
      <c r="AY90" s="88">
        <f>WORKDAY.INTL(AX90,1,p_weekend,p_holidays)</f>
        <v>46400.0</v>
      </c>
      <c r="AZ90" s="88">
        <f>WORKDAY.INTL(AY90,1,p_weekend,p_holidays)</f>
        <v>46402.0</v>
      </c>
      <c r="BA90" s="88">
        <f>WORKDAY.INTL(AZ90,1,p_weekend,p_holidays)</f>
        <v>46405.0</v>
      </c>
      <c r="BB90" s="88">
        <f>WORKDAY.INTL(BA90,1,p_weekend,p_holidays)</f>
        <v>46406.0</v>
      </c>
      <c r="BC90" s="88">
        <f>WORKDAY.INTL(BB90,1,p_weekend,p_holidays)</f>
        <v>46407.0</v>
      </c>
      <c r="BD90" s="88">
        <f>WORKDAY.INTL(BC90,1,p_weekend,p_holidays)</f>
        <v>46408.0</v>
      </c>
      <c r="BE90" s="88">
        <f>WORKDAY.INTL(BD90,1,p_weekend,p_holidays)</f>
        <v>46409.0</v>
      </c>
      <c r="BF90" s="88">
        <f>WORKDAY.INTL(BE90,1,p_weekend,p_holidays)</f>
        <v>46412.0</v>
      </c>
      <c r="BG90" s="88">
        <f>WORKDAY.INTL(BF90,1,p_weekend,p_holidays)</f>
        <v>46413.0</v>
      </c>
      <c r="BH90" s="88">
        <f>WORKDAY.INTL(BG90,1,p_weekend,p_holidays)</f>
        <v>46414.0</v>
      </c>
      <c r="BI90" s="88">
        <f>WORKDAY.INTL(BH90,1,p_weekend,p_holidays)</f>
        <v>46415.0</v>
      </c>
      <c r="BJ90" s="88">
        <f>WORKDAY.INTL(BI90,1,p_weekend,p_holidays)</f>
        <v>46416.0</v>
      </c>
      <c r="BK90" s="88">
        <f>WORKDAY.INTL(BJ90,1,p_weekend,p_holidays)</f>
        <v>46419.0</v>
      </c>
      <c r="BL90" s="88">
        <f>WORKDAY.INTL(BK90,1,p_weekend,p_holidays)</f>
        <v>46420.0</v>
      </c>
      <c r="BM90" s="88">
        <f>WORKDAY.INTL(BL90,1,p_weekend,p_holidays)</f>
        <v>46421.0</v>
      </c>
      <c r="BN90" s="88">
        <f>WORKDAY.INTL(BM90,1,p_weekend,p_holidays)</f>
        <v>46422.0</v>
      </c>
      <c r="BO90" s="88">
        <f>WORKDAY.INTL(BN90,1,p_weekend,p_holidays)</f>
        <v>46423.0</v>
      </c>
      <c r="BP90" s="88">
        <f>WORKDAY.INTL(BO90,1,p_weekend,p_holidays)</f>
        <v>46426.0</v>
      </c>
      <c r="BQ90" s="88">
        <f>WORKDAY.INTL(BP90,1,p_weekend,p_holidays)</f>
        <v>46427.0</v>
      </c>
      <c r="BR90" s="88">
        <f>WORKDAY.INTL(BQ90,1,p_weekend,p_holidays)</f>
        <v>46428.0</v>
      </c>
      <c r="BS90" s="88">
        <f>WORKDAY.INTL(BR90,1,p_weekend,p_holidays)</f>
        <v>46429.0</v>
      </c>
      <c r="BT90" s="88">
        <f>WORKDAY.INTL(BS90,1,p_weekend,p_holidays)</f>
        <v>46430.0</v>
      </c>
      <c r="BU90" s="88">
        <f>WORKDAY.INTL(BT90,1,p_weekend,p_holidays)</f>
        <v>46433.0</v>
      </c>
      <c r="BV90" s="88">
        <f>WORKDAY.INTL(BU90,1,p_weekend,p_holidays)</f>
        <v>46434.0</v>
      </c>
    </row>
    <row r="91">
      <c r="B91" s="67" t="inlineStr">
        <is>
          <t>Semaine n°</t>
        </is>
      </c>
      <c r="C91" s="89">
        <f>INT((C90-p_monday)/7)+1</f>
        <v>1.0</v>
      </c>
      <c r="D91" s="89">
        <f>INT((D90-p_monday)/7)+1</f>
        <v>1.0</v>
      </c>
      <c r="E91" s="89">
        <f>INT((E90-p_monday)/7)+1</f>
        <v>1.0</v>
      </c>
      <c r="F91" s="89">
        <f>INT((F90-p_monday)/7)+1</f>
        <v>1.0</v>
      </c>
      <c r="G91" s="89">
        <f>INT((G90-p_monday)/7)+1</f>
        <v>2.0</v>
      </c>
      <c r="H91" s="89">
        <f>INT((H90-p_monday)/7)+1</f>
        <v>2.0</v>
      </c>
      <c r="I91" s="89">
        <f>INT((I90-p_monday)/7)+1</f>
        <v>2.0</v>
      </c>
      <c r="J91" s="89">
        <f>INT((J90-p_monday)/7)+1</f>
        <v>2.0</v>
      </c>
      <c r="K91" s="89">
        <f>INT((K90-p_monday)/7)+1</f>
        <v>2.0</v>
      </c>
      <c r="L91" s="89">
        <f>INT((L90-p_monday)/7)+1</f>
        <v>3.0</v>
      </c>
      <c r="M91" s="89">
        <f>INT((M90-p_monday)/7)+1</f>
        <v>3.0</v>
      </c>
      <c r="N91" s="89">
        <f>INT((N90-p_monday)/7)+1</f>
        <v>3.0</v>
      </c>
      <c r="O91" s="89">
        <f>INT((O90-p_monday)/7)+1</f>
        <v>3.0</v>
      </c>
      <c r="P91" s="89">
        <f>INT((P90-p_monday)/7)+1</f>
        <v>4.0</v>
      </c>
      <c r="Q91" s="89">
        <f>INT((Q90-p_monday)/7)+1</f>
        <v>4.0</v>
      </c>
      <c r="R91" s="89">
        <f>INT((R90-p_monday)/7)+1</f>
        <v>4.0</v>
      </c>
      <c r="S91" s="89">
        <f>INT((S90-p_monday)/7)+1</f>
        <v>4.0</v>
      </c>
      <c r="T91" s="89">
        <f>INT((T90-p_monday)/7)+1</f>
        <v>4.0</v>
      </c>
      <c r="U91" s="89">
        <f>INT((U90-p_monday)/7)+1</f>
        <v>5.0</v>
      </c>
      <c r="V91" s="89">
        <f>INT((V90-p_monday)/7)+1</f>
        <v>5.0</v>
      </c>
      <c r="W91" s="89">
        <f>INT((W90-p_monday)/7)+1</f>
        <v>5.0</v>
      </c>
      <c r="X91" s="89">
        <f>INT((X90-p_monday)/7)+1</f>
        <v>5.0</v>
      </c>
      <c r="Y91" s="89">
        <f>INT((Y90-p_monday)/7)+1</f>
        <v>5.0</v>
      </c>
      <c r="Z91" s="89">
        <f>INT((Z90-p_monday)/7)+1</f>
        <v>6.0</v>
      </c>
      <c r="AA91" s="89">
        <f>INT((AA90-p_monday)/7)+1</f>
        <v>6.0</v>
      </c>
      <c r="AB91" s="89">
        <f>INT((AB90-p_monday)/7)+1</f>
        <v>6.0</v>
      </c>
      <c r="AC91" s="89">
        <f>INT((AC90-p_monday)/7)+1</f>
        <v>6.0</v>
      </c>
      <c r="AD91" s="89">
        <f>INT((AD90-p_monday)/7)+1</f>
        <v>6.0</v>
      </c>
      <c r="AE91" s="89">
        <f>INT((AE90-p_monday)/7)+1</f>
        <v>7.0</v>
      </c>
      <c r="AF91" s="89">
        <f>INT((AF90-p_monday)/7)+1</f>
        <v>7.0</v>
      </c>
      <c r="AG91" s="89">
        <f>INT((AG90-p_monday)/7)+1</f>
        <v>7.0</v>
      </c>
      <c r="AH91" s="89">
        <f>INT((AH90-p_monday)/7)+1</f>
        <v>7.0</v>
      </c>
      <c r="AI91" s="89">
        <f>INT((AI90-p_monday)/7)+1</f>
        <v>7.0</v>
      </c>
      <c r="AJ91" s="89">
        <f>INT((AJ90-p_monday)/7)+1</f>
        <v>8.0</v>
      </c>
      <c r="AK91" s="89">
        <f>INT((AK90-p_monday)/7)+1</f>
        <v>8.0</v>
      </c>
      <c r="AL91" s="89">
        <f>INT((AL90-p_monday)/7)+1</f>
        <v>8.0</v>
      </c>
      <c r="AM91" s="89">
        <f>INT((AM90-p_monday)/7)+1</f>
        <v>8.0</v>
      </c>
      <c r="AN91" s="89">
        <f>INT((AN90-p_monday)/7)+1</f>
        <v>8.0</v>
      </c>
      <c r="AO91" s="89">
        <f>INT((AO90-p_monday)/7)+1</f>
        <v>9.0</v>
      </c>
      <c r="AP91" s="89">
        <f>INT((AP90-p_monday)/7)+1</f>
        <v>9.0</v>
      </c>
      <c r="AQ91" s="89">
        <f>INT((AQ90-p_monday)/7)+1</f>
        <v>9.0</v>
      </c>
      <c r="AR91" s="89">
        <f>INT((AR90-p_monday)/7)+1</f>
        <v>9.0</v>
      </c>
      <c r="AS91" s="89">
        <f>INT((AS90-p_monday)/7)+1</f>
        <v>10.0</v>
      </c>
      <c r="AT91" s="89">
        <f>INT((AT90-p_monday)/7)+1</f>
        <v>10.0</v>
      </c>
      <c r="AU91" s="89">
        <f>INT((AU90-p_monday)/7)+1</f>
        <v>10.0</v>
      </c>
      <c r="AV91" s="89">
        <f>INT((AV90-p_monday)/7)+1</f>
        <v>10.0</v>
      </c>
      <c r="AW91" s="89">
        <f>INT((AW90-p_monday)/7)+1</f>
        <v>10.0</v>
      </c>
      <c r="AX91" s="89">
        <f>INT((AX90-p_monday)/7)+1</f>
        <v>11.0</v>
      </c>
      <c r="AY91" s="89">
        <f>INT((AY90-p_monday)/7)+1</f>
        <v>11.0</v>
      </c>
      <c r="AZ91" s="89">
        <f>INT((AZ90-p_monday)/7)+1</f>
        <v>11.0</v>
      </c>
      <c r="BA91" s="89">
        <f>INT((BA90-p_monday)/7)+1</f>
        <v>12.0</v>
      </c>
      <c r="BB91" s="89">
        <f>INT((BB90-p_monday)/7)+1</f>
        <v>12.0</v>
      </c>
      <c r="BC91" s="89">
        <f>INT((BC90-p_monday)/7)+1</f>
        <v>12.0</v>
      </c>
      <c r="BD91" s="89">
        <f>INT((BD90-p_monday)/7)+1</f>
        <v>12.0</v>
      </c>
      <c r="BE91" s="89">
        <f>INT((BE90-p_monday)/7)+1</f>
        <v>12.0</v>
      </c>
      <c r="BF91" s="89">
        <f>INT((BF90-p_monday)/7)+1</f>
        <v>13.0</v>
      </c>
      <c r="BG91" s="89">
        <f>INT((BG90-p_monday)/7)+1</f>
        <v>13.0</v>
      </c>
      <c r="BH91" s="89">
        <f>INT((BH90-p_monday)/7)+1</f>
        <v>13.0</v>
      </c>
      <c r="BI91" s="89">
        <f>INT((BI90-p_monday)/7)+1</f>
        <v>13.0</v>
      </c>
      <c r="BJ91" s="89">
        <f>INT((BJ90-p_monday)/7)+1</f>
        <v>13.0</v>
      </c>
      <c r="BK91" s="89">
        <f>INT((BK90-p_monday)/7)+1</f>
        <v>14.0</v>
      </c>
      <c r="BL91" s="89">
        <f>INT((BL90-p_monday)/7)+1</f>
        <v>14.0</v>
      </c>
      <c r="BM91" s="89">
        <f>INT((BM90-p_monday)/7)+1</f>
        <v>14.0</v>
      </c>
      <c r="BN91" s="89">
        <f>INT((BN90-p_monday)/7)+1</f>
        <v>14.0</v>
      </c>
      <c r="BO91" s="89">
        <f>INT((BO90-p_monday)/7)+1</f>
        <v>14.0</v>
      </c>
      <c r="BP91" s="89">
        <f>INT((BP90-p_monday)/7)+1</f>
        <v>15.0</v>
      </c>
      <c r="BQ91" s="89">
        <f>INT((BQ90-p_monday)/7)+1</f>
        <v>15.0</v>
      </c>
      <c r="BR91" s="89">
        <f>INT((BR90-p_monday)/7)+1</f>
        <v>15.0</v>
      </c>
      <c r="BS91" s="89">
        <f>INT((BS90-p_monday)/7)+1</f>
        <v>15.0</v>
      </c>
      <c r="BT91" s="89">
        <f>INT((BT90-p_monday)/7)+1</f>
        <v>15.0</v>
      </c>
      <c r="BU91" s="89">
        <f>INT((BU90-p_monday)/7)+1</f>
        <v>16.0</v>
      </c>
      <c r="BV91" s="89">
        <f>INT((BV90-p_monday)/7)+1</f>
        <v>16.0</v>
      </c>
    </row>
    <row r="92">
      <c r="A92" s="90" t="str">
        <f>IF(INDEX(po_code,1)="","",INDEX(po_code,1))</f>
        <v>SCIE</v>
      </c>
      <c r="C92" s="91">
        <f>IF($A92="","",SUMIFS(of_hpd,of_poste,$A92,of_start,"&lt;="&amp;C$90,of_end,"&gt;="&amp;C$90))</f>
        <v>6.15</v>
      </c>
      <c r="D92" s="91">
        <f>IF($A92="","",SUMIFS(of_hpd,of_poste,$A92,of_start,"&lt;="&amp;D$90,of_end,"&gt;="&amp;D$90))</f>
        <v>6.15</v>
      </c>
      <c r="E92" s="91">
        <f>IF($A92="","",SUMIFS(of_hpd,of_poste,$A92,of_start,"&lt;="&amp;E$90,of_end,"&gt;="&amp;E$90))</f>
        <v>6.76666666666667</v>
      </c>
      <c r="F92" s="91">
        <f>IF($A92="","",SUMIFS(of_hpd,of_poste,$A92,of_start,"&lt;="&amp;F$90,of_end,"&gt;="&amp;F$90))</f>
        <v>6.76666666666667</v>
      </c>
      <c r="G92" s="91">
        <f>IF($A92="","",SUMIFS(of_hpd,of_poste,$A92,of_start,"&lt;="&amp;G$90,of_end,"&gt;="&amp;G$90))</f>
        <v>6.76666666666667</v>
      </c>
      <c r="H92" s="91">
        <f>IF($A92="","",SUMIFS(of_hpd,of_poste,$A92,of_start,"&lt;="&amp;H$90,of_end,"&gt;="&amp;H$90))</f>
        <v>5.43333333333333</v>
      </c>
      <c r="I92" s="91">
        <f>IF($A92="","",SUMIFS(of_hpd,of_poste,$A92,of_start,"&lt;="&amp;I$90,of_end,"&gt;="&amp;I$90))</f>
        <v>5.43333333333333</v>
      </c>
      <c r="J92" s="91">
        <f>IF($A92="","",SUMIFS(of_hpd,of_poste,$A92,of_start,"&lt;="&amp;J$90,of_end,"&gt;="&amp;J$90))</f>
        <v>5.43333333333333</v>
      </c>
      <c r="K92" s="91">
        <f>IF($A92="","",SUMIFS(of_hpd,of_poste,$A92,of_start,"&lt;="&amp;K$90,of_end,"&gt;="&amp;K$90))</f>
        <v>0.0</v>
      </c>
      <c r="L92" s="91">
        <f>IF($A92="","",SUMIFS(of_hpd,of_poste,$A92,of_start,"&lt;="&amp;L$90,of_end,"&gt;="&amp;L$90))</f>
        <v>0.0</v>
      </c>
      <c r="M92" s="91">
        <f>IF($A92="","",SUMIFS(of_hpd,of_poste,$A92,of_start,"&lt;="&amp;M$90,of_end,"&gt;="&amp;M$90))</f>
        <v>0.0</v>
      </c>
      <c r="N92" s="91">
        <f>IF($A92="","",SUMIFS(of_hpd,of_poste,$A92,of_start,"&lt;="&amp;N$90,of_end,"&gt;="&amp;N$90))</f>
        <v>0.0</v>
      </c>
      <c r="O92" s="91">
        <f>IF($A92="","",SUMIFS(of_hpd,of_poste,$A92,of_start,"&lt;="&amp;O$90,of_end,"&gt;="&amp;O$90))</f>
        <v>0.0</v>
      </c>
      <c r="P92" s="91">
        <f>IF($A92="","",SUMIFS(of_hpd,of_poste,$A92,of_start,"&lt;="&amp;P$90,of_end,"&gt;="&amp;P$90))</f>
        <v>0.0</v>
      </c>
      <c r="Q92" s="91">
        <f>IF($A92="","",SUMIFS(of_hpd,of_poste,$A92,of_start,"&lt;="&amp;Q$90,of_end,"&gt;="&amp;Q$90))</f>
        <v>0.0</v>
      </c>
      <c r="R92" s="91">
        <f>IF($A92="","",SUMIFS(of_hpd,of_poste,$A92,of_start,"&lt;="&amp;R$90,of_end,"&gt;="&amp;R$90))</f>
        <v>0.0</v>
      </c>
      <c r="S92" s="91">
        <f>IF($A92="","",SUMIFS(of_hpd,of_poste,$A92,of_start,"&lt;="&amp;S$90,of_end,"&gt;="&amp;S$90))</f>
        <v>0.0</v>
      </c>
      <c r="T92" s="91">
        <f>IF($A92="","",SUMIFS(of_hpd,of_poste,$A92,of_start,"&lt;="&amp;T$90,of_end,"&gt;="&amp;T$90))</f>
        <v>0.0</v>
      </c>
      <c r="U92" s="91">
        <f>IF($A92="","",SUMIFS(of_hpd,of_poste,$A92,of_start,"&lt;="&amp;U$90,of_end,"&gt;="&amp;U$90))</f>
        <v>0.0</v>
      </c>
      <c r="V92" s="91">
        <f>IF($A92="","",SUMIFS(of_hpd,of_poste,$A92,of_start,"&lt;="&amp;V$90,of_end,"&gt;="&amp;V$90))</f>
        <v>0.0</v>
      </c>
      <c r="W92" s="91">
        <f>IF($A92="","",SUMIFS(of_hpd,of_poste,$A92,of_start,"&lt;="&amp;W$90,of_end,"&gt;="&amp;W$90))</f>
        <v>0.0</v>
      </c>
      <c r="X92" s="91">
        <f>IF($A92="","",SUMIFS(of_hpd,of_poste,$A92,of_start,"&lt;="&amp;X$90,of_end,"&gt;="&amp;X$90))</f>
        <v>0.0</v>
      </c>
      <c r="Y92" s="91">
        <f>IF($A92="","",SUMIFS(of_hpd,of_poste,$A92,of_start,"&lt;="&amp;Y$90,of_end,"&gt;="&amp;Y$90))</f>
        <v>0.0</v>
      </c>
      <c r="Z92" s="91">
        <f>IF($A92="","",SUMIFS(of_hpd,of_poste,$A92,of_start,"&lt;="&amp;Z$90,of_end,"&gt;="&amp;Z$90))</f>
        <v>0.0</v>
      </c>
      <c r="AA92" s="91">
        <f>IF($A92="","",SUMIFS(of_hpd,of_poste,$A92,of_start,"&lt;="&amp;AA$90,of_end,"&gt;="&amp;AA$90))</f>
        <v>0.0</v>
      </c>
      <c r="AB92" s="91">
        <f>IF($A92="","",SUMIFS(of_hpd,of_poste,$A92,of_start,"&lt;="&amp;AB$90,of_end,"&gt;="&amp;AB$90))</f>
        <v>0.0</v>
      </c>
      <c r="AC92" s="91">
        <f>IF($A92="","",SUMIFS(of_hpd,of_poste,$A92,of_start,"&lt;="&amp;AC$90,of_end,"&gt;="&amp;AC$90))</f>
        <v>0.0</v>
      </c>
      <c r="AD92" s="91">
        <f>IF($A92="","",SUMIFS(of_hpd,of_poste,$A92,of_start,"&lt;="&amp;AD$90,of_end,"&gt;="&amp;AD$90))</f>
        <v>0.0</v>
      </c>
      <c r="AE92" s="91">
        <f>IF($A92="","",SUMIFS(of_hpd,of_poste,$A92,of_start,"&lt;="&amp;AE$90,of_end,"&gt;="&amp;AE$90))</f>
        <v>0.0</v>
      </c>
      <c r="AF92" s="91">
        <f>IF($A92="","",SUMIFS(of_hpd,of_poste,$A92,of_start,"&lt;="&amp;AF$90,of_end,"&gt;="&amp;AF$90))</f>
        <v>0.0</v>
      </c>
      <c r="AG92" s="91">
        <f>IF($A92="","",SUMIFS(of_hpd,of_poste,$A92,of_start,"&lt;="&amp;AG$90,of_end,"&gt;="&amp;AG$90))</f>
        <v>0.0</v>
      </c>
      <c r="AH92" s="91">
        <f>IF($A92="","",SUMIFS(of_hpd,of_poste,$A92,of_start,"&lt;="&amp;AH$90,of_end,"&gt;="&amp;AH$90))</f>
        <v>0.0</v>
      </c>
      <c r="AI92" s="91">
        <f>IF($A92="","",SUMIFS(of_hpd,of_poste,$A92,of_start,"&lt;="&amp;AI$90,of_end,"&gt;="&amp;AI$90))</f>
        <v>0.0</v>
      </c>
      <c r="AJ92" s="91">
        <f>IF($A92="","",SUMIFS(of_hpd,of_poste,$A92,of_start,"&lt;="&amp;AJ$90,of_end,"&gt;="&amp;AJ$90))</f>
        <v>0.0</v>
      </c>
      <c r="AK92" s="91">
        <f>IF($A92="","",SUMIFS(of_hpd,of_poste,$A92,of_start,"&lt;="&amp;AK$90,of_end,"&gt;="&amp;AK$90))</f>
        <v>0.0</v>
      </c>
      <c r="AL92" s="91">
        <f>IF($A92="","",SUMIFS(of_hpd,of_poste,$A92,of_start,"&lt;="&amp;AL$90,of_end,"&gt;="&amp;AL$90))</f>
        <v>0.0</v>
      </c>
      <c r="AM92" s="91">
        <f>IF($A92="","",SUMIFS(of_hpd,of_poste,$A92,of_start,"&lt;="&amp;AM$90,of_end,"&gt;="&amp;AM$90))</f>
        <v>0.0</v>
      </c>
      <c r="AN92" s="91">
        <f>IF($A92="","",SUMIFS(of_hpd,of_poste,$A92,of_start,"&lt;="&amp;AN$90,of_end,"&gt;="&amp;AN$90))</f>
        <v>0.0</v>
      </c>
      <c r="AO92" s="91">
        <f>IF($A92="","",SUMIFS(of_hpd,of_poste,$A92,of_start,"&lt;="&amp;AO$90,of_end,"&gt;="&amp;AO$90))</f>
        <v>0.0</v>
      </c>
      <c r="AP92" s="91">
        <f>IF($A92="","",SUMIFS(of_hpd,of_poste,$A92,of_start,"&lt;="&amp;AP$90,of_end,"&gt;="&amp;AP$90))</f>
        <v>0.0</v>
      </c>
      <c r="AQ92" s="91">
        <f>IF($A92="","",SUMIFS(of_hpd,of_poste,$A92,of_start,"&lt;="&amp;AQ$90,of_end,"&gt;="&amp;AQ$90))</f>
        <v>0.0</v>
      </c>
      <c r="AR92" s="91">
        <f>IF($A92="","",SUMIFS(of_hpd,of_poste,$A92,of_start,"&lt;="&amp;AR$90,of_end,"&gt;="&amp;AR$90))</f>
        <v>0.0</v>
      </c>
      <c r="AS92" s="91">
        <f>IF($A92="","",SUMIFS(of_hpd,of_poste,$A92,of_start,"&lt;="&amp;AS$90,of_end,"&gt;="&amp;AS$90))</f>
        <v>0.0</v>
      </c>
      <c r="AT92" s="91">
        <f>IF($A92="","",SUMIFS(of_hpd,of_poste,$A92,of_start,"&lt;="&amp;AT$90,of_end,"&gt;="&amp;AT$90))</f>
        <v>0.0</v>
      </c>
      <c r="AU92" s="91">
        <f>IF($A92="","",SUMIFS(of_hpd,of_poste,$A92,of_start,"&lt;="&amp;AU$90,of_end,"&gt;="&amp;AU$90))</f>
        <v>0.0</v>
      </c>
      <c r="AV92" s="91">
        <f>IF($A92="","",SUMIFS(of_hpd,of_poste,$A92,of_start,"&lt;="&amp;AV$90,of_end,"&gt;="&amp;AV$90))</f>
        <v>0.0</v>
      </c>
      <c r="AW92" s="91">
        <f>IF($A92="","",SUMIFS(of_hpd,of_poste,$A92,of_start,"&lt;="&amp;AW$90,of_end,"&gt;="&amp;AW$90))</f>
        <v>0.0</v>
      </c>
      <c r="AX92" s="91">
        <f>IF($A92="","",SUMIFS(of_hpd,of_poste,$A92,of_start,"&lt;="&amp;AX$90,of_end,"&gt;="&amp;AX$90))</f>
        <v>0.0</v>
      </c>
      <c r="AY92" s="91">
        <f>IF($A92="","",SUMIFS(of_hpd,of_poste,$A92,of_start,"&lt;="&amp;AY$90,of_end,"&gt;="&amp;AY$90))</f>
        <v>0.0</v>
      </c>
      <c r="AZ92" s="91">
        <f>IF($A92="","",SUMIFS(of_hpd,of_poste,$A92,of_start,"&lt;="&amp;AZ$90,of_end,"&gt;="&amp;AZ$90))</f>
        <v>0.0</v>
      </c>
      <c r="BA92" s="91">
        <f>IF($A92="","",SUMIFS(of_hpd,of_poste,$A92,of_start,"&lt;="&amp;BA$90,of_end,"&gt;="&amp;BA$90))</f>
        <v>0.0</v>
      </c>
      <c r="BB92" s="91">
        <f>IF($A92="","",SUMIFS(of_hpd,of_poste,$A92,of_start,"&lt;="&amp;BB$90,of_end,"&gt;="&amp;BB$90))</f>
        <v>0.0</v>
      </c>
      <c r="BC92" s="91">
        <f>IF($A92="","",SUMIFS(of_hpd,of_poste,$A92,of_start,"&lt;="&amp;BC$90,of_end,"&gt;="&amp;BC$90))</f>
        <v>0.0</v>
      </c>
      <c r="BD92" s="91">
        <f>IF($A92="","",SUMIFS(of_hpd,of_poste,$A92,of_start,"&lt;="&amp;BD$90,of_end,"&gt;="&amp;BD$90))</f>
        <v>0.0</v>
      </c>
      <c r="BE92" s="91">
        <f>IF($A92="","",SUMIFS(of_hpd,of_poste,$A92,of_start,"&lt;="&amp;BE$90,of_end,"&gt;="&amp;BE$90))</f>
        <v>0.0</v>
      </c>
      <c r="BF92" s="91">
        <f>IF($A92="","",SUMIFS(of_hpd,of_poste,$A92,of_start,"&lt;="&amp;BF$90,of_end,"&gt;="&amp;BF$90))</f>
        <v>0.0</v>
      </c>
      <c r="BG92" s="91">
        <f>IF($A92="","",SUMIFS(of_hpd,of_poste,$A92,of_start,"&lt;="&amp;BG$90,of_end,"&gt;="&amp;BG$90))</f>
        <v>0.0</v>
      </c>
      <c r="BH92" s="91">
        <f>IF($A92="","",SUMIFS(of_hpd,of_poste,$A92,of_start,"&lt;="&amp;BH$90,of_end,"&gt;="&amp;BH$90))</f>
        <v>0.0</v>
      </c>
      <c r="BI92" s="91">
        <f>IF($A92="","",SUMIFS(of_hpd,of_poste,$A92,of_start,"&lt;="&amp;BI$90,of_end,"&gt;="&amp;BI$90))</f>
        <v>0.0</v>
      </c>
      <c r="BJ92" s="91">
        <f>IF($A92="","",SUMIFS(of_hpd,of_poste,$A92,of_start,"&lt;="&amp;BJ$90,of_end,"&gt;="&amp;BJ$90))</f>
        <v>0.0</v>
      </c>
      <c r="BK92" s="91">
        <f>IF($A92="","",SUMIFS(of_hpd,of_poste,$A92,of_start,"&lt;="&amp;BK$90,of_end,"&gt;="&amp;BK$90))</f>
        <v>0.0</v>
      </c>
      <c r="BL92" s="91">
        <f>IF($A92="","",SUMIFS(of_hpd,of_poste,$A92,of_start,"&lt;="&amp;BL$90,of_end,"&gt;="&amp;BL$90))</f>
        <v>0.0</v>
      </c>
      <c r="BM92" s="91">
        <f>IF($A92="","",SUMIFS(of_hpd,of_poste,$A92,of_start,"&lt;="&amp;BM$90,of_end,"&gt;="&amp;BM$90))</f>
        <v>0.0</v>
      </c>
      <c r="BN92" s="91">
        <f>IF($A92="","",SUMIFS(of_hpd,of_poste,$A92,of_start,"&lt;="&amp;BN$90,of_end,"&gt;="&amp;BN$90))</f>
        <v>0.0</v>
      </c>
      <c r="BO92" s="91">
        <f>IF($A92="","",SUMIFS(of_hpd,of_poste,$A92,of_start,"&lt;="&amp;BO$90,of_end,"&gt;="&amp;BO$90))</f>
        <v>0.0</v>
      </c>
      <c r="BP92" s="91">
        <f>IF($A92="","",SUMIFS(of_hpd,of_poste,$A92,of_start,"&lt;="&amp;BP$90,of_end,"&gt;="&amp;BP$90))</f>
        <v>0.0</v>
      </c>
      <c r="BQ92" s="91">
        <f>IF($A92="","",SUMIFS(of_hpd,of_poste,$A92,of_start,"&lt;="&amp;BQ$90,of_end,"&gt;="&amp;BQ$90))</f>
        <v>0.0</v>
      </c>
      <c r="BR92" s="91">
        <f>IF($A92="","",SUMIFS(of_hpd,of_poste,$A92,of_start,"&lt;="&amp;BR$90,of_end,"&gt;="&amp;BR$90))</f>
        <v>0.0</v>
      </c>
      <c r="BS92" s="91">
        <f>IF($A92="","",SUMIFS(of_hpd,of_poste,$A92,of_start,"&lt;="&amp;BS$90,of_end,"&gt;="&amp;BS$90))</f>
        <v>0.0</v>
      </c>
      <c r="BT92" s="91">
        <f>IF($A92="","",SUMIFS(of_hpd,of_poste,$A92,of_start,"&lt;="&amp;BT$90,of_end,"&gt;="&amp;BT$90))</f>
        <v>0.0</v>
      </c>
      <c r="BU92" s="91">
        <f>IF($A92="","",SUMIFS(of_hpd,of_poste,$A92,of_start,"&lt;="&amp;BU$90,of_end,"&gt;="&amp;BU$90))</f>
        <v>0.0</v>
      </c>
      <c r="BV92" s="91">
        <f>IF($A92="","",SUMIFS(of_hpd,of_poste,$A92,of_start,"&lt;="&amp;BV$90,of_end,"&gt;="&amp;BV$90))</f>
        <v>0.0</v>
      </c>
    </row>
    <row r="93">
      <c r="A93" s="90" t="str">
        <f>IF(INDEX(po_code,2)="","",INDEX(po_code,2))</f>
        <v>TOUR</v>
      </c>
      <c r="C93" s="91">
        <f>IF($A93="","",SUMIFS(of_hpd,of_poste,$A93,of_start,"&lt;="&amp;C$90,of_end,"&gt;="&amp;C$90))</f>
        <v>12.3333333333333</v>
      </c>
      <c r="D93" s="91">
        <f>IF($A93="","",SUMIFS(of_hpd,of_poste,$A93,of_start,"&lt;="&amp;D$90,of_end,"&gt;="&amp;D$90))</f>
        <v>12.3333333333333</v>
      </c>
      <c r="E93" s="91">
        <f>IF($A93="","",SUMIFS(of_hpd,of_poste,$A93,of_start,"&lt;="&amp;E$90,of_end,"&gt;="&amp;E$90))</f>
        <v>12.3333333333333</v>
      </c>
      <c r="F93" s="91">
        <f>IF($A93="","",SUMIFS(of_hpd,of_poste,$A93,of_start,"&lt;="&amp;F$90,of_end,"&gt;="&amp;F$90))</f>
        <v>10.375</v>
      </c>
      <c r="G93" s="91">
        <f>IF($A93="","",SUMIFS(of_hpd,of_poste,$A93,of_start,"&lt;="&amp;G$90,of_end,"&gt;="&amp;G$90))</f>
        <v>10.375</v>
      </c>
      <c r="H93" s="91">
        <f>IF($A93="","",SUMIFS(of_hpd,of_poste,$A93,of_start,"&lt;="&amp;H$90,of_end,"&gt;="&amp;H$90))</f>
        <v>10.375</v>
      </c>
      <c r="I93" s="91">
        <f>IF($A93="","",SUMIFS(of_hpd,of_poste,$A93,of_start,"&lt;="&amp;I$90,of_end,"&gt;="&amp;I$90))</f>
        <v>10.375</v>
      </c>
      <c r="J93" s="91">
        <f>IF($A93="","",SUMIFS(of_hpd,of_poste,$A93,of_start,"&lt;="&amp;J$90,of_end,"&gt;="&amp;J$90))</f>
        <v>11.375</v>
      </c>
      <c r="K93" s="91">
        <f>IF($A93="","",SUMIFS(of_hpd,of_poste,$A93,of_start,"&lt;="&amp;K$90,of_end,"&gt;="&amp;K$90))</f>
        <v>11.375</v>
      </c>
      <c r="L93" s="91">
        <f>IF($A93="","",SUMIFS(of_hpd,of_poste,$A93,of_start,"&lt;="&amp;L$90,of_end,"&gt;="&amp;L$90))</f>
        <v>11.375</v>
      </c>
      <c r="M93" s="91">
        <f>IF($A93="","",SUMIFS(of_hpd,of_poste,$A93,of_start,"&lt;="&amp;M$90,of_end,"&gt;="&amp;M$90))</f>
        <v>11.375</v>
      </c>
      <c r="N93" s="91">
        <f>IF($A93="","",SUMIFS(of_hpd,of_poste,$A93,of_start,"&lt;="&amp;N$90,of_end,"&gt;="&amp;N$90))</f>
        <v>10.5</v>
      </c>
      <c r="O93" s="91">
        <f>IF($A93="","",SUMIFS(of_hpd,of_poste,$A93,of_start,"&lt;="&amp;O$90,of_end,"&gt;="&amp;O$90))</f>
        <v>10.5</v>
      </c>
      <c r="P93" s="91">
        <f>IF($A93="","",SUMIFS(of_hpd,of_poste,$A93,of_start,"&lt;="&amp;P$90,of_end,"&gt;="&amp;P$90))</f>
        <v>10.5</v>
      </c>
      <c r="Q93" s="91">
        <f>IF($A93="","",SUMIFS(of_hpd,of_poste,$A93,of_start,"&lt;="&amp;Q$90,of_end,"&gt;="&amp;Q$90))</f>
        <v>11.5</v>
      </c>
      <c r="R93" s="91">
        <f>IF($A93="","",SUMIFS(of_hpd,of_poste,$A93,of_start,"&lt;="&amp;R$90,of_end,"&gt;="&amp;R$90))</f>
        <v>11.5</v>
      </c>
      <c r="S93" s="91">
        <f>IF($A93="","",SUMIFS(of_hpd,of_poste,$A93,of_start,"&lt;="&amp;S$90,of_end,"&gt;="&amp;S$90))</f>
        <v>11.5</v>
      </c>
      <c r="T93" s="91">
        <f>IF($A93="","",SUMIFS(of_hpd,of_poste,$A93,of_start,"&lt;="&amp;T$90,of_end,"&gt;="&amp;T$90))</f>
        <v>11.5</v>
      </c>
      <c r="U93" s="91">
        <f>IF($A93="","",SUMIFS(of_hpd,of_poste,$A93,of_start,"&lt;="&amp;U$90,of_end,"&gt;="&amp;U$90))</f>
        <v>12.6666666666667</v>
      </c>
      <c r="V93" s="91">
        <f>IF($A93="","",SUMIFS(of_hpd,of_poste,$A93,of_start,"&lt;="&amp;V$90,of_end,"&gt;="&amp;V$90))</f>
        <v>12.6666666666667</v>
      </c>
      <c r="W93" s="91">
        <f>IF($A93="","",SUMIFS(of_hpd,of_poste,$A93,of_start,"&lt;="&amp;W$90,of_end,"&gt;="&amp;W$90))</f>
        <v>12.6666666666667</v>
      </c>
      <c r="X93" s="91">
        <f>IF($A93="","",SUMIFS(of_hpd,of_poste,$A93,of_start,"&lt;="&amp;X$90,of_end,"&gt;="&amp;X$90))</f>
        <v>0.0</v>
      </c>
      <c r="Y93" s="91">
        <f>IF($A93="","",SUMIFS(of_hpd,of_poste,$A93,of_start,"&lt;="&amp;Y$90,of_end,"&gt;="&amp;Y$90))</f>
        <v>0.0</v>
      </c>
      <c r="Z93" s="91">
        <f>IF($A93="","",SUMIFS(of_hpd,of_poste,$A93,of_start,"&lt;="&amp;Z$90,of_end,"&gt;="&amp;Z$90))</f>
        <v>0.0</v>
      </c>
      <c r="AA93" s="91">
        <f>IF($A93="","",SUMIFS(of_hpd,of_poste,$A93,of_start,"&lt;="&amp;AA$90,of_end,"&gt;="&amp;AA$90))</f>
        <v>0.0</v>
      </c>
      <c r="AB93" s="91">
        <f>IF($A93="","",SUMIFS(of_hpd,of_poste,$A93,of_start,"&lt;="&amp;AB$90,of_end,"&gt;="&amp;AB$90))</f>
        <v>0.0</v>
      </c>
      <c r="AC93" s="91">
        <f>IF($A93="","",SUMIFS(of_hpd,of_poste,$A93,of_start,"&lt;="&amp;AC$90,of_end,"&gt;="&amp;AC$90))</f>
        <v>0.0</v>
      </c>
      <c r="AD93" s="91">
        <f>IF($A93="","",SUMIFS(of_hpd,of_poste,$A93,of_start,"&lt;="&amp;AD$90,of_end,"&gt;="&amp;AD$90))</f>
        <v>0.0</v>
      </c>
      <c r="AE93" s="91">
        <f>IF($A93="","",SUMIFS(of_hpd,of_poste,$A93,of_start,"&lt;="&amp;AE$90,of_end,"&gt;="&amp;AE$90))</f>
        <v>0.0</v>
      </c>
      <c r="AF93" s="91">
        <f>IF($A93="","",SUMIFS(of_hpd,of_poste,$A93,of_start,"&lt;="&amp;AF$90,of_end,"&gt;="&amp;AF$90))</f>
        <v>0.0</v>
      </c>
      <c r="AG93" s="91">
        <f>IF($A93="","",SUMIFS(of_hpd,of_poste,$A93,of_start,"&lt;="&amp;AG$90,of_end,"&gt;="&amp;AG$90))</f>
        <v>0.0</v>
      </c>
      <c r="AH93" s="91">
        <f>IF($A93="","",SUMIFS(of_hpd,of_poste,$A93,of_start,"&lt;="&amp;AH$90,of_end,"&gt;="&amp;AH$90))</f>
        <v>0.0</v>
      </c>
      <c r="AI93" s="91">
        <f>IF($A93="","",SUMIFS(of_hpd,of_poste,$A93,of_start,"&lt;="&amp;AI$90,of_end,"&gt;="&amp;AI$90))</f>
        <v>0.0</v>
      </c>
      <c r="AJ93" s="91">
        <f>IF($A93="","",SUMIFS(of_hpd,of_poste,$A93,of_start,"&lt;="&amp;AJ$90,of_end,"&gt;="&amp;AJ$90))</f>
        <v>0.0</v>
      </c>
      <c r="AK93" s="91">
        <f>IF($A93="","",SUMIFS(of_hpd,of_poste,$A93,of_start,"&lt;="&amp;AK$90,of_end,"&gt;="&amp;AK$90))</f>
        <v>0.0</v>
      </c>
      <c r="AL93" s="91">
        <f>IF($A93="","",SUMIFS(of_hpd,of_poste,$A93,of_start,"&lt;="&amp;AL$90,of_end,"&gt;="&amp;AL$90))</f>
        <v>0.0</v>
      </c>
      <c r="AM93" s="91">
        <f>IF($A93="","",SUMIFS(of_hpd,of_poste,$A93,of_start,"&lt;="&amp;AM$90,of_end,"&gt;="&amp;AM$90))</f>
        <v>0.0</v>
      </c>
      <c r="AN93" s="91">
        <f>IF($A93="","",SUMIFS(of_hpd,of_poste,$A93,of_start,"&lt;="&amp;AN$90,of_end,"&gt;="&amp;AN$90))</f>
        <v>0.0</v>
      </c>
      <c r="AO93" s="91">
        <f>IF($A93="","",SUMIFS(of_hpd,of_poste,$A93,of_start,"&lt;="&amp;AO$90,of_end,"&gt;="&amp;AO$90))</f>
        <v>0.0</v>
      </c>
      <c r="AP93" s="91">
        <f>IF($A93="","",SUMIFS(of_hpd,of_poste,$A93,of_start,"&lt;="&amp;AP$90,of_end,"&gt;="&amp;AP$90))</f>
        <v>0.0</v>
      </c>
      <c r="AQ93" s="91">
        <f>IF($A93="","",SUMIFS(of_hpd,of_poste,$A93,of_start,"&lt;="&amp;AQ$90,of_end,"&gt;="&amp;AQ$90))</f>
        <v>0.0</v>
      </c>
      <c r="AR93" s="91">
        <f>IF($A93="","",SUMIFS(of_hpd,of_poste,$A93,of_start,"&lt;="&amp;AR$90,of_end,"&gt;="&amp;AR$90))</f>
        <v>0.0</v>
      </c>
      <c r="AS93" s="91">
        <f>IF($A93="","",SUMIFS(of_hpd,of_poste,$A93,of_start,"&lt;="&amp;AS$90,of_end,"&gt;="&amp;AS$90))</f>
        <v>0.0</v>
      </c>
      <c r="AT93" s="91">
        <f>IF($A93="","",SUMIFS(of_hpd,of_poste,$A93,of_start,"&lt;="&amp;AT$90,of_end,"&gt;="&amp;AT$90))</f>
        <v>0.0</v>
      </c>
      <c r="AU93" s="91">
        <f>IF($A93="","",SUMIFS(of_hpd,of_poste,$A93,of_start,"&lt;="&amp;AU$90,of_end,"&gt;="&amp;AU$90))</f>
        <v>0.0</v>
      </c>
      <c r="AV93" s="91">
        <f>IF($A93="","",SUMIFS(of_hpd,of_poste,$A93,of_start,"&lt;="&amp;AV$90,of_end,"&gt;="&amp;AV$90))</f>
        <v>0.0</v>
      </c>
      <c r="AW93" s="91">
        <f>IF($A93="","",SUMIFS(of_hpd,of_poste,$A93,of_start,"&lt;="&amp;AW$90,of_end,"&gt;="&amp;AW$90))</f>
        <v>0.0</v>
      </c>
      <c r="AX93" s="91">
        <f>IF($A93="","",SUMIFS(of_hpd,of_poste,$A93,of_start,"&lt;="&amp;AX$90,of_end,"&gt;="&amp;AX$90))</f>
        <v>0.0</v>
      </c>
      <c r="AY93" s="91">
        <f>IF($A93="","",SUMIFS(of_hpd,of_poste,$A93,of_start,"&lt;="&amp;AY$90,of_end,"&gt;="&amp;AY$90))</f>
        <v>0.0</v>
      </c>
      <c r="AZ93" s="91">
        <f>IF($A93="","",SUMIFS(of_hpd,of_poste,$A93,of_start,"&lt;="&amp;AZ$90,of_end,"&gt;="&amp;AZ$90))</f>
        <v>0.0</v>
      </c>
      <c r="BA93" s="91">
        <f>IF($A93="","",SUMIFS(of_hpd,of_poste,$A93,of_start,"&lt;="&amp;BA$90,of_end,"&gt;="&amp;BA$90))</f>
        <v>0.0</v>
      </c>
      <c r="BB93" s="91">
        <f>IF($A93="","",SUMIFS(of_hpd,of_poste,$A93,of_start,"&lt;="&amp;BB$90,of_end,"&gt;="&amp;BB$90))</f>
        <v>0.0</v>
      </c>
      <c r="BC93" s="91">
        <f>IF($A93="","",SUMIFS(of_hpd,of_poste,$A93,of_start,"&lt;="&amp;BC$90,of_end,"&gt;="&amp;BC$90))</f>
        <v>0.0</v>
      </c>
      <c r="BD93" s="91">
        <f>IF($A93="","",SUMIFS(of_hpd,of_poste,$A93,of_start,"&lt;="&amp;BD$90,of_end,"&gt;="&amp;BD$90))</f>
        <v>0.0</v>
      </c>
      <c r="BE93" s="91">
        <f>IF($A93="","",SUMIFS(of_hpd,of_poste,$A93,of_start,"&lt;="&amp;BE$90,of_end,"&gt;="&amp;BE$90))</f>
        <v>0.0</v>
      </c>
      <c r="BF93" s="91">
        <f>IF($A93="","",SUMIFS(of_hpd,of_poste,$A93,of_start,"&lt;="&amp;BF$90,of_end,"&gt;="&amp;BF$90))</f>
        <v>0.0</v>
      </c>
      <c r="BG93" s="91">
        <f>IF($A93="","",SUMIFS(of_hpd,of_poste,$A93,of_start,"&lt;="&amp;BG$90,of_end,"&gt;="&amp;BG$90))</f>
        <v>0.0</v>
      </c>
      <c r="BH93" s="91">
        <f>IF($A93="","",SUMIFS(of_hpd,of_poste,$A93,of_start,"&lt;="&amp;BH$90,of_end,"&gt;="&amp;BH$90))</f>
        <v>0.0</v>
      </c>
      <c r="BI93" s="91">
        <f>IF($A93="","",SUMIFS(of_hpd,of_poste,$A93,of_start,"&lt;="&amp;BI$90,of_end,"&gt;="&amp;BI$90))</f>
        <v>0.0</v>
      </c>
      <c r="BJ93" s="91">
        <f>IF($A93="","",SUMIFS(of_hpd,of_poste,$A93,of_start,"&lt;="&amp;BJ$90,of_end,"&gt;="&amp;BJ$90))</f>
        <v>0.0</v>
      </c>
      <c r="BK93" s="91">
        <f>IF($A93="","",SUMIFS(of_hpd,of_poste,$A93,of_start,"&lt;="&amp;BK$90,of_end,"&gt;="&amp;BK$90))</f>
        <v>0.0</v>
      </c>
      <c r="BL93" s="91">
        <f>IF($A93="","",SUMIFS(of_hpd,of_poste,$A93,of_start,"&lt;="&amp;BL$90,of_end,"&gt;="&amp;BL$90))</f>
        <v>0.0</v>
      </c>
      <c r="BM93" s="91">
        <f>IF($A93="","",SUMIFS(of_hpd,of_poste,$A93,of_start,"&lt;="&amp;BM$90,of_end,"&gt;="&amp;BM$90))</f>
        <v>0.0</v>
      </c>
      <c r="BN93" s="91">
        <f>IF($A93="","",SUMIFS(of_hpd,of_poste,$A93,of_start,"&lt;="&amp;BN$90,of_end,"&gt;="&amp;BN$90))</f>
        <v>0.0</v>
      </c>
      <c r="BO93" s="91">
        <f>IF($A93="","",SUMIFS(of_hpd,of_poste,$A93,of_start,"&lt;="&amp;BO$90,of_end,"&gt;="&amp;BO$90))</f>
        <v>0.0</v>
      </c>
      <c r="BP93" s="91">
        <f>IF($A93="","",SUMIFS(of_hpd,of_poste,$A93,of_start,"&lt;="&amp;BP$90,of_end,"&gt;="&amp;BP$90))</f>
        <v>0.0</v>
      </c>
      <c r="BQ93" s="91">
        <f>IF($A93="","",SUMIFS(of_hpd,of_poste,$A93,of_start,"&lt;="&amp;BQ$90,of_end,"&gt;="&amp;BQ$90))</f>
        <v>0.0</v>
      </c>
      <c r="BR93" s="91">
        <f>IF($A93="","",SUMIFS(of_hpd,of_poste,$A93,of_start,"&lt;="&amp;BR$90,of_end,"&gt;="&amp;BR$90))</f>
        <v>0.0</v>
      </c>
      <c r="BS93" s="91">
        <f>IF($A93="","",SUMIFS(of_hpd,of_poste,$A93,of_start,"&lt;="&amp;BS$90,of_end,"&gt;="&amp;BS$90))</f>
        <v>0.0</v>
      </c>
      <c r="BT93" s="91">
        <f>IF($A93="","",SUMIFS(of_hpd,of_poste,$A93,of_start,"&lt;="&amp;BT$90,of_end,"&gt;="&amp;BT$90))</f>
        <v>0.0</v>
      </c>
      <c r="BU93" s="91">
        <f>IF($A93="","",SUMIFS(of_hpd,of_poste,$A93,of_start,"&lt;="&amp;BU$90,of_end,"&gt;="&amp;BU$90))</f>
        <v>0.0</v>
      </c>
      <c r="BV93" s="91">
        <f>IF($A93="","",SUMIFS(of_hpd,of_poste,$A93,of_start,"&lt;="&amp;BV$90,of_end,"&gt;="&amp;BV$90))</f>
        <v>0.0</v>
      </c>
    </row>
    <row r="94">
      <c r="A94" s="90" t="str">
        <f>IF(INDEX(po_code,3)="","",INDEX(po_code,3))</f>
        <v>FRAIS</v>
      </c>
      <c r="C94" s="91">
        <f>IF($A94="","",SUMIFS(of_hpd,of_poste,$A94,of_start,"&lt;="&amp;C$90,of_end,"&gt;="&amp;C$90))</f>
        <v>8.5</v>
      </c>
      <c r="D94" s="91">
        <f>IF($A94="","",SUMIFS(of_hpd,of_poste,$A94,of_start,"&lt;="&amp;D$90,of_end,"&gt;="&amp;D$90))</f>
        <v>8.5</v>
      </c>
      <c r="E94" s="91">
        <f>IF($A94="","",SUMIFS(of_hpd,of_poste,$A94,of_start,"&lt;="&amp;E$90,of_end,"&gt;="&amp;E$90))</f>
        <v>12.5</v>
      </c>
      <c r="F94" s="91">
        <f>IF($A94="","",SUMIFS(of_hpd,of_poste,$A94,of_start,"&lt;="&amp;F$90,of_end,"&gt;="&amp;F$90))</f>
        <v>12.5</v>
      </c>
      <c r="G94" s="91">
        <f>IF($A94="","",SUMIFS(of_hpd,of_poste,$A94,of_start,"&lt;="&amp;G$90,of_end,"&gt;="&amp;G$90))</f>
        <v>11.875</v>
      </c>
      <c r="H94" s="91">
        <f>IF($A94="","",SUMIFS(of_hpd,of_poste,$A94,of_start,"&lt;="&amp;H$90,of_end,"&gt;="&amp;H$90))</f>
        <v>11.875</v>
      </c>
      <c r="I94" s="91">
        <f>IF($A94="","",SUMIFS(of_hpd,of_poste,$A94,of_start,"&lt;="&amp;I$90,of_end,"&gt;="&amp;I$90))</f>
        <v>11.875</v>
      </c>
      <c r="J94" s="91">
        <f>IF($A94="","",SUMIFS(of_hpd,of_poste,$A94,of_start,"&lt;="&amp;J$90,of_end,"&gt;="&amp;J$90))</f>
        <v>11.875</v>
      </c>
      <c r="K94" s="91">
        <f>IF($A94="","",SUMIFS(of_hpd,of_poste,$A94,of_start,"&lt;="&amp;K$90,of_end,"&gt;="&amp;K$90))</f>
        <v>13.5</v>
      </c>
      <c r="L94" s="91">
        <f>IF($A94="","",SUMIFS(of_hpd,of_poste,$A94,of_start,"&lt;="&amp;L$90,of_end,"&gt;="&amp;L$90))</f>
        <v>13.5</v>
      </c>
      <c r="M94" s="91">
        <f>IF($A94="","",SUMIFS(of_hpd,of_poste,$A94,of_start,"&lt;="&amp;M$90,of_end,"&gt;="&amp;M$90))</f>
        <v>12.0</v>
      </c>
      <c r="N94" s="91">
        <f>IF($A94="","",SUMIFS(of_hpd,of_poste,$A94,of_start,"&lt;="&amp;N$90,of_end,"&gt;="&amp;N$90))</f>
        <v>12.0</v>
      </c>
      <c r="O94" s="91">
        <f>IF($A94="","",SUMIFS(of_hpd,of_poste,$A94,of_start,"&lt;="&amp;O$90,of_end,"&gt;="&amp;O$90))</f>
        <v>12.0</v>
      </c>
      <c r="P94" s="91">
        <f>IF($A94="","",SUMIFS(of_hpd,of_poste,$A94,of_start,"&lt;="&amp;P$90,of_end,"&gt;="&amp;P$90))</f>
        <v>11.6666666666667</v>
      </c>
      <c r="Q94" s="91">
        <f>IF($A94="","",SUMIFS(of_hpd,of_poste,$A94,of_start,"&lt;="&amp;Q$90,of_end,"&gt;="&amp;Q$90))</f>
        <v>11.6666666666667</v>
      </c>
      <c r="R94" s="91">
        <f>IF($A94="","",SUMIFS(of_hpd,of_poste,$A94,of_start,"&lt;="&amp;R$90,of_end,"&gt;="&amp;R$90))</f>
        <v>11.6666666666667</v>
      </c>
      <c r="S94" s="91">
        <f>IF($A94="","",SUMIFS(of_hpd,of_poste,$A94,of_start,"&lt;="&amp;S$90,of_end,"&gt;="&amp;S$90))</f>
        <v>11.6666666666667</v>
      </c>
      <c r="T94" s="91">
        <f>IF($A94="","",SUMIFS(of_hpd,of_poste,$A94,of_start,"&lt;="&amp;T$90,of_end,"&gt;="&amp;T$90))</f>
        <v>11.6666666666667</v>
      </c>
      <c r="U94" s="91">
        <f>IF($A94="","",SUMIFS(of_hpd,of_poste,$A94,of_start,"&lt;="&amp;U$90,of_end,"&gt;="&amp;U$90))</f>
        <v>11.6666666666667</v>
      </c>
      <c r="V94" s="91">
        <f>IF($A94="","",SUMIFS(of_hpd,of_poste,$A94,of_start,"&lt;="&amp;V$90,of_end,"&gt;="&amp;V$90))</f>
        <v>0.0</v>
      </c>
      <c r="W94" s="91">
        <f>IF($A94="","",SUMIFS(of_hpd,of_poste,$A94,of_start,"&lt;="&amp;W$90,of_end,"&gt;="&amp;W$90))</f>
        <v>0.0</v>
      </c>
      <c r="X94" s="91">
        <f>IF($A94="","",SUMIFS(of_hpd,of_poste,$A94,of_start,"&lt;="&amp;X$90,of_end,"&gt;="&amp;X$90))</f>
        <v>0.0</v>
      </c>
      <c r="Y94" s="91">
        <f>IF($A94="","",SUMIFS(of_hpd,of_poste,$A94,of_start,"&lt;="&amp;Y$90,of_end,"&gt;="&amp;Y$90))</f>
        <v>0.0</v>
      </c>
      <c r="Z94" s="91">
        <f>IF($A94="","",SUMIFS(of_hpd,of_poste,$A94,of_start,"&lt;="&amp;Z$90,of_end,"&gt;="&amp;Z$90))</f>
        <v>11.0</v>
      </c>
      <c r="AA94" s="91">
        <f>IF($A94="","",SUMIFS(of_hpd,of_poste,$A94,of_start,"&lt;="&amp;AA$90,of_end,"&gt;="&amp;AA$90))</f>
        <v>11.0</v>
      </c>
      <c r="AB94" s="91">
        <f>IF($A94="","",SUMIFS(of_hpd,of_poste,$A94,of_start,"&lt;="&amp;AB$90,of_end,"&gt;="&amp;AB$90))</f>
        <v>11.9</v>
      </c>
      <c r="AC94" s="91">
        <f>IF($A94="","",SUMIFS(of_hpd,of_poste,$A94,of_start,"&lt;="&amp;AC$90,of_end,"&gt;="&amp;AC$90))</f>
        <v>11.9</v>
      </c>
      <c r="AD94" s="91">
        <f>IF($A94="","",SUMIFS(of_hpd,of_poste,$A94,of_start,"&lt;="&amp;AD$90,of_end,"&gt;="&amp;AD$90))</f>
        <v>11.9</v>
      </c>
      <c r="AE94" s="91">
        <f>IF($A94="","",SUMIFS(of_hpd,of_poste,$A94,of_start,"&lt;="&amp;AE$90,of_end,"&gt;="&amp;AE$90))</f>
        <v>11.9</v>
      </c>
      <c r="AF94" s="91">
        <f>IF($A94="","",SUMIFS(of_hpd,of_poste,$A94,of_start,"&lt;="&amp;AF$90,of_end,"&gt;="&amp;AF$90))</f>
        <v>11.9</v>
      </c>
      <c r="AG94" s="91">
        <f>IF($A94="","",SUMIFS(of_hpd,of_poste,$A94,of_start,"&lt;="&amp;AG$90,of_end,"&gt;="&amp;AG$90))</f>
        <v>0.0</v>
      </c>
      <c r="AH94" s="91">
        <f>IF($A94="","",SUMIFS(of_hpd,of_poste,$A94,of_start,"&lt;="&amp;AH$90,of_end,"&gt;="&amp;AH$90))</f>
        <v>0.0</v>
      </c>
      <c r="AI94" s="91">
        <f>IF($A94="","",SUMIFS(of_hpd,of_poste,$A94,of_start,"&lt;="&amp;AI$90,of_end,"&gt;="&amp;AI$90))</f>
        <v>0.0</v>
      </c>
      <c r="AJ94" s="91">
        <f>IF($A94="","",SUMIFS(of_hpd,of_poste,$A94,of_start,"&lt;="&amp;AJ$90,of_end,"&gt;="&amp;AJ$90))</f>
        <v>0.0</v>
      </c>
      <c r="AK94" s="91">
        <f>IF($A94="","",SUMIFS(of_hpd,of_poste,$A94,of_start,"&lt;="&amp;AK$90,of_end,"&gt;="&amp;AK$90))</f>
        <v>0.0</v>
      </c>
      <c r="AL94" s="91">
        <f>IF($A94="","",SUMIFS(of_hpd,of_poste,$A94,of_start,"&lt;="&amp;AL$90,of_end,"&gt;="&amp;AL$90))</f>
        <v>0.0</v>
      </c>
      <c r="AM94" s="91">
        <f>IF($A94="","",SUMIFS(of_hpd,of_poste,$A94,of_start,"&lt;="&amp;AM$90,of_end,"&gt;="&amp;AM$90))</f>
        <v>0.0</v>
      </c>
      <c r="AN94" s="91">
        <f>IF($A94="","",SUMIFS(of_hpd,of_poste,$A94,of_start,"&lt;="&amp;AN$90,of_end,"&gt;="&amp;AN$90))</f>
        <v>0.0</v>
      </c>
      <c r="AO94" s="91">
        <f>IF($A94="","",SUMIFS(of_hpd,of_poste,$A94,of_start,"&lt;="&amp;AO$90,of_end,"&gt;="&amp;AO$90))</f>
        <v>0.0</v>
      </c>
      <c r="AP94" s="91">
        <f>IF($A94="","",SUMIFS(of_hpd,of_poste,$A94,of_start,"&lt;="&amp;AP$90,of_end,"&gt;="&amp;AP$90))</f>
        <v>0.0</v>
      </c>
      <c r="AQ94" s="91">
        <f>IF($A94="","",SUMIFS(of_hpd,of_poste,$A94,of_start,"&lt;="&amp;AQ$90,of_end,"&gt;="&amp;AQ$90))</f>
        <v>0.0</v>
      </c>
      <c r="AR94" s="91">
        <f>IF($A94="","",SUMIFS(of_hpd,of_poste,$A94,of_start,"&lt;="&amp;AR$90,of_end,"&gt;="&amp;AR$90))</f>
        <v>0.0</v>
      </c>
      <c r="AS94" s="91">
        <f>IF($A94="","",SUMIFS(of_hpd,of_poste,$A94,of_start,"&lt;="&amp;AS$90,of_end,"&gt;="&amp;AS$90))</f>
        <v>0.0</v>
      </c>
      <c r="AT94" s="91">
        <f>IF($A94="","",SUMIFS(of_hpd,of_poste,$A94,of_start,"&lt;="&amp;AT$90,of_end,"&gt;="&amp;AT$90))</f>
        <v>0.0</v>
      </c>
      <c r="AU94" s="91">
        <f>IF($A94="","",SUMIFS(of_hpd,of_poste,$A94,of_start,"&lt;="&amp;AU$90,of_end,"&gt;="&amp;AU$90))</f>
        <v>0.0</v>
      </c>
      <c r="AV94" s="91">
        <f>IF($A94="","",SUMIFS(of_hpd,of_poste,$A94,of_start,"&lt;="&amp;AV$90,of_end,"&gt;="&amp;AV$90))</f>
        <v>0.0</v>
      </c>
      <c r="AW94" s="91">
        <f>IF($A94="","",SUMIFS(of_hpd,of_poste,$A94,of_start,"&lt;="&amp;AW$90,of_end,"&gt;="&amp;AW$90))</f>
        <v>0.0</v>
      </c>
      <c r="AX94" s="91">
        <f>IF($A94="","",SUMIFS(of_hpd,of_poste,$A94,of_start,"&lt;="&amp;AX$90,of_end,"&gt;="&amp;AX$90))</f>
        <v>0.0</v>
      </c>
      <c r="AY94" s="91">
        <f>IF($A94="","",SUMIFS(of_hpd,of_poste,$A94,of_start,"&lt;="&amp;AY$90,of_end,"&gt;="&amp;AY$90))</f>
        <v>0.0</v>
      </c>
      <c r="AZ94" s="91">
        <f>IF($A94="","",SUMIFS(of_hpd,of_poste,$A94,of_start,"&lt;="&amp;AZ$90,of_end,"&gt;="&amp;AZ$90))</f>
        <v>0.0</v>
      </c>
      <c r="BA94" s="91">
        <f>IF($A94="","",SUMIFS(of_hpd,of_poste,$A94,of_start,"&lt;="&amp;BA$90,of_end,"&gt;="&amp;BA$90))</f>
        <v>0.0</v>
      </c>
      <c r="BB94" s="91">
        <f>IF($A94="","",SUMIFS(of_hpd,of_poste,$A94,of_start,"&lt;="&amp;BB$90,of_end,"&gt;="&amp;BB$90))</f>
        <v>0.0</v>
      </c>
      <c r="BC94" s="91">
        <f>IF($A94="","",SUMIFS(of_hpd,of_poste,$A94,of_start,"&lt;="&amp;BC$90,of_end,"&gt;="&amp;BC$90))</f>
        <v>0.0</v>
      </c>
      <c r="BD94" s="91">
        <f>IF($A94="","",SUMIFS(of_hpd,of_poste,$A94,of_start,"&lt;="&amp;BD$90,of_end,"&gt;="&amp;BD$90))</f>
        <v>0.0</v>
      </c>
      <c r="BE94" s="91">
        <f>IF($A94="","",SUMIFS(of_hpd,of_poste,$A94,of_start,"&lt;="&amp;BE$90,of_end,"&gt;="&amp;BE$90))</f>
        <v>0.0</v>
      </c>
      <c r="BF94" s="91">
        <f>IF($A94="","",SUMIFS(of_hpd,of_poste,$A94,of_start,"&lt;="&amp;BF$90,of_end,"&gt;="&amp;BF$90))</f>
        <v>0.0</v>
      </c>
      <c r="BG94" s="91">
        <f>IF($A94="","",SUMIFS(of_hpd,of_poste,$A94,of_start,"&lt;="&amp;BG$90,of_end,"&gt;="&amp;BG$90))</f>
        <v>0.0</v>
      </c>
      <c r="BH94" s="91">
        <f>IF($A94="","",SUMIFS(of_hpd,of_poste,$A94,of_start,"&lt;="&amp;BH$90,of_end,"&gt;="&amp;BH$90))</f>
        <v>0.0</v>
      </c>
      <c r="BI94" s="91">
        <f>IF($A94="","",SUMIFS(of_hpd,of_poste,$A94,of_start,"&lt;="&amp;BI$90,of_end,"&gt;="&amp;BI$90))</f>
        <v>0.0</v>
      </c>
      <c r="BJ94" s="91">
        <f>IF($A94="","",SUMIFS(of_hpd,of_poste,$A94,of_start,"&lt;="&amp;BJ$90,of_end,"&gt;="&amp;BJ$90))</f>
        <v>0.0</v>
      </c>
      <c r="BK94" s="91">
        <f>IF($A94="","",SUMIFS(of_hpd,of_poste,$A94,of_start,"&lt;="&amp;BK$90,of_end,"&gt;="&amp;BK$90))</f>
        <v>0.0</v>
      </c>
      <c r="BL94" s="91">
        <f>IF($A94="","",SUMIFS(of_hpd,of_poste,$A94,of_start,"&lt;="&amp;BL$90,of_end,"&gt;="&amp;BL$90))</f>
        <v>0.0</v>
      </c>
      <c r="BM94" s="91">
        <f>IF($A94="","",SUMIFS(of_hpd,of_poste,$A94,of_start,"&lt;="&amp;BM$90,of_end,"&gt;="&amp;BM$90))</f>
        <v>0.0</v>
      </c>
      <c r="BN94" s="91">
        <f>IF($A94="","",SUMIFS(of_hpd,of_poste,$A94,of_start,"&lt;="&amp;BN$90,of_end,"&gt;="&amp;BN$90))</f>
        <v>0.0</v>
      </c>
      <c r="BO94" s="91">
        <f>IF($A94="","",SUMIFS(of_hpd,of_poste,$A94,of_start,"&lt;="&amp;BO$90,of_end,"&gt;="&amp;BO$90))</f>
        <v>0.0</v>
      </c>
      <c r="BP94" s="91">
        <f>IF($A94="","",SUMIFS(of_hpd,of_poste,$A94,of_start,"&lt;="&amp;BP$90,of_end,"&gt;="&amp;BP$90))</f>
        <v>0.0</v>
      </c>
      <c r="BQ94" s="91">
        <f>IF($A94="","",SUMIFS(of_hpd,of_poste,$A94,of_start,"&lt;="&amp;BQ$90,of_end,"&gt;="&amp;BQ$90))</f>
        <v>0.0</v>
      </c>
      <c r="BR94" s="91">
        <f>IF($A94="","",SUMIFS(of_hpd,of_poste,$A94,of_start,"&lt;="&amp;BR$90,of_end,"&gt;="&amp;BR$90))</f>
        <v>0.0</v>
      </c>
      <c r="BS94" s="91">
        <f>IF($A94="","",SUMIFS(of_hpd,of_poste,$A94,of_start,"&lt;="&amp;BS$90,of_end,"&gt;="&amp;BS$90))</f>
        <v>0.0</v>
      </c>
      <c r="BT94" s="91">
        <f>IF($A94="","",SUMIFS(of_hpd,of_poste,$A94,of_start,"&lt;="&amp;BT$90,of_end,"&gt;="&amp;BT$90))</f>
        <v>0.0</v>
      </c>
      <c r="BU94" s="91">
        <f>IF($A94="","",SUMIFS(of_hpd,of_poste,$A94,of_start,"&lt;="&amp;BU$90,of_end,"&gt;="&amp;BU$90))</f>
        <v>0.0</v>
      </c>
      <c r="BV94" s="91">
        <f>IF($A94="","",SUMIFS(of_hpd,of_poste,$A94,of_start,"&lt;="&amp;BV$90,of_end,"&gt;="&amp;BV$90))</f>
        <v>0.0</v>
      </c>
    </row>
    <row r="95">
      <c r="A95" s="90" t="str">
        <f>IF(INDEX(po_code,4)="","",INDEX(po_code,4))</f>
        <v>PLIE</v>
      </c>
      <c r="C95" s="91">
        <f>IF($A95="","",SUMIFS(of_hpd,of_poste,$A95,of_start,"&lt;="&amp;C$90,of_end,"&gt;="&amp;C$90))</f>
        <v>6.5</v>
      </c>
      <c r="D95" s="91">
        <f>IF($A95="","",SUMIFS(of_hpd,of_poste,$A95,of_start,"&lt;="&amp;D$90,of_end,"&gt;="&amp;D$90))</f>
        <v>6.5</v>
      </c>
      <c r="E95" s="91">
        <f>IF($A95="","",SUMIFS(of_hpd,of_poste,$A95,of_start,"&lt;="&amp;E$90,of_end,"&gt;="&amp;E$90))</f>
        <v>6.45</v>
      </c>
      <c r="F95" s="91">
        <f>IF($A95="","",SUMIFS(of_hpd,of_poste,$A95,of_start,"&lt;="&amp;F$90,of_end,"&gt;="&amp;F$90))</f>
        <v>6.45</v>
      </c>
      <c r="G95" s="91">
        <f>IF($A95="","",SUMIFS(of_hpd,of_poste,$A95,of_start,"&lt;="&amp;G$90,of_end,"&gt;="&amp;G$90))</f>
        <v>6.45</v>
      </c>
      <c r="H95" s="91">
        <f>IF($A95="","",SUMIFS(of_hpd,of_poste,$A95,of_start,"&lt;="&amp;H$90,of_end,"&gt;="&amp;H$90))</f>
        <v>6.45</v>
      </c>
      <c r="I95" s="91">
        <f>IF($A95="","",SUMIFS(of_hpd,of_poste,$A95,of_start,"&lt;="&amp;I$90,of_end,"&gt;="&amp;I$90))</f>
        <v>6.03333333333333</v>
      </c>
      <c r="J95" s="91">
        <f>IF($A95="","",SUMIFS(of_hpd,of_poste,$A95,of_start,"&lt;="&amp;J$90,of_end,"&gt;="&amp;J$90))</f>
        <v>6.03333333333333</v>
      </c>
      <c r="K95" s="91">
        <f>IF($A95="","",SUMIFS(of_hpd,of_poste,$A95,of_start,"&lt;="&amp;K$90,of_end,"&gt;="&amp;K$90))</f>
        <v>6.03333333333333</v>
      </c>
      <c r="L95" s="91">
        <f>IF($A95="","",SUMIFS(of_hpd,of_poste,$A95,of_start,"&lt;="&amp;L$90,of_end,"&gt;="&amp;L$90))</f>
        <v>6.33333333333333</v>
      </c>
      <c r="M95" s="91">
        <f>IF($A95="","",SUMIFS(of_hpd,of_poste,$A95,of_start,"&lt;="&amp;M$90,of_end,"&gt;="&amp;M$90))</f>
        <v>6.33333333333333</v>
      </c>
      <c r="N95" s="91">
        <f>IF($A95="","",SUMIFS(of_hpd,of_poste,$A95,of_start,"&lt;="&amp;N$90,of_end,"&gt;="&amp;N$90))</f>
        <v>6.33333333333333</v>
      </c>
      <c r="O95" s="91">
        <f>IF($A95="","",SUMIFS(of_hpd,of_poste,$A95,of_start,"&lt;="&amp;O$90,of_end,"&gt;="&amp;O$90))</f>
        <v>6.8</v>
      </c>
      <c r="P95" s="91">
        <f>IF($A95="","",SUMIFS(of_hpd,of_poste,$A95,of_start,"&lt;="&amp;P$90,of_end,"&gt;="&amp;P$90))</f>
        <v>6.8</v>
      </c>
      <c r="Q95" s="91">
        <f>IF($A95="","",SUMIFS(of_hpd,of_poste,$A95,of_start,"&lt;="&amp;Q$90,of_end,"&gt;="&amp;Q$90))</f>
        <v>6.8</v>
      </c>
      <c r="R95" s="91">
        <f>IF($A95="","",SUMIFS(of_hpd,of_poste,$A95,of_start,"&lt;="&amp;R$90,of_end,"&gt;="&amp;R$90))</f>
        <v>6.8</v>
      </c>
      <c r="S95" s="91">
        <f>IF($A95="","",SUMIFS(of_hpd,of_poste,$A95,of_start,"&lt;="&amp;S$90,of_end,"&gt;="&amp;S$90))</f>
        <v>6.8</v>
      </c>
      <c r="T95" s="91">
        <f>IF($A95="","",SUMIFS(of_hpd,of_poste,$A95,of_start,"&lt;="&amp;T$90,of_end,"&gt;="&amp;T$90))</f>
        <v>6.8</v>
      </c>
      <c r="U95" s="91">
        <f>IF($A95="","",SUMIFS(of_hpd,of_poste,$A95,of_start,"&lt;="&amp;U$90,of_end,"&gt;="&amp;U$90))</f>
        <v>5.775</v>
      </c>
      <c r="V95" s="91">
        <f>IF($A95="","",SUMIFS(of_hpd,of_poste,$A95,of_start,"&lt;="&amp;V$90,of_end,"&gt;="&amp;V$90))</f>
        <v>5.775</v>
      </c>
      <c r="W95" s="91">
        <f>IF($A95="","",SUMIFS(of_hpd,of_poste,$A95,of_start,"&lt;="&amp;W$90,of_end,"&gt;="&amp;W$90))</f>
        <v>5.775</v>
      </c>
      <c r="X95" s="91">
        <f>IF($A95="","",SUMIFS(of_hpd,of_poste,$A95,of_start,"&lt;="&amp;X$90,of_end,"&gt;="&amp;X$90))</f>
        <v>5.775</v>
      </c>
      <c r="Y95" s="91">
        <f>IF($A95="","",SUMIFS(of_hpd,of_poste,$A95,of_start,"&lt;="&amp;Y$90,of_end,"&gt;="&amp;Y$90))</f>
        <v>5.5</v>
      </c>
      <c r="Z95" s="91">
        <f>IF($A95="","",SUMIFS(of_hpd,of_poste,$A95,of_start,"&lt;="&amp;Z$90,of_end,"&gt;="&amp;Z$90))</f>
        <v>5.5</v>
      </c>
      <c r="AA95" s="91">
        <f>IF($A95="","",SUMIFS(of_hpd,of_poste,$A95,of_start,"&lt;="&amp;AA$90,of_end,"&gt;="&amp;AA$90))</f>
        <v>0.0</v>
      </c>
      <c r="AB95" s="91">
        <f>IF($A95="","",SUMIFS(of_hpd,of_poste,$A95,of_start,"&lt;="&amp;AB$90,of_end,"&gt;="&amp;AB$90))</f>
        <v>0.0</v>
      </c>
      <c r="AC95" s="91">
        <f>IF($A95="","",SUMIFS(of_hpd,of_poste,$A95,of_start,"&lt;="&amp;AC$90,of_end,"&gt;="&amp;AC$90))</f>
        <v>0.0</v>
      </c>
      <c r="AD95" s="91">
        <f>IF($A95="","",SUMIFS(of_hpd,of_poste,$A95,of_start,"&lt;="&amp;AD$90,of_end,"&gt;="&amp;AD$90))</f>
        <v>0.0</v>
      </c>
      <c r="AE95" s="91">
        <f>IF($A95="","",SUMIFS(of_hpd,of_poste,$A95,of_start,"&lt;="&amp;AE$90,of_end,"&gt;="&amp;AE$90))</f>
        <v>0.0</v>
      </c>
      <c r="AF95" s="91">
        <f>IF($A95="","",SUMIFS(of_hpd,of_poste,$A95,of_start,"&lt;="&amp;AF$90,of_end,"&gt;="&amp;AF$90))</f>
        <v>0.0</v>
      </c>
      <c r="AG95" s="91">
        <f>IF($A95="","",SUMIFS(of_hpd,of_poste,$A95,of_start,"&lt;="&amp;AG$90,of_end,"&gt;="&amp;AG$90))</f>
        <v>0.0</v>
      </c>
      <c r="AH95" s="91">
        <f>IF($A95="","",SUMIFS(of_hpd,of_poste,$A95,of_start,"&lt;="&amp;AH$90,of_end,"&gt;="&amp;AH$90))</f>
        <v>0.0</v>
      </c>
      <c r="AI95" s="91">
        <f>IF($A95="","",SUMIFS(of_hpd,of_poste,$A95,of_start,"&lt;="&amp;AI$90,of_end,"&gt;="&amp;AI$90))</f>
        <v>0.0</v>
      </c>
      <c r="AJ95" s="91">
        <f>IF($A95="","",SUMIFS(of_hpd,of_poste,$A95,of_start,"&lt;="&amp;AJ$90,of_end,"&gt;="&amp;AJ$90))</f>
        <v>0.0</v>
      </c>
      <c r="AK95" s="91">
        <f>IF($A95="","",SUMIFS(of_hpd,of_poste,$A95,of_start,"&lt;="&amp;AK$90,of_end,"&gt;="&amp;AK$90))</f>
        <v>0.0</v>
      </c>
      <c r="AL95" s="91">
        <f>IF($A95="","",SUMIFS(of_hpd,of_poste,$A95,of_start,"&lt;="&amp;AL$90,of_end,"&gt;="&amp;AL$90))</f>
        <v>0.0</v>
      </c>
      <c r="AM95" s="91">
        <f>IF($A95="","",SUMIFS(of_hpd,of_poste,$A95,of_start,"&lt;="&amp;AM$90,of_end,"&gt;="&amp;AM$90))</f>
        <v>0.0</v>
      </c>
      <c r="AN95" s="91">
        <f>IF($A95="","",SUMIFS(of_hpd,of_poste,$A95,of_start,"&lt;="&amp;AN$90,of_end,"&gt;="&amp;AN$90))</f>
        <v>0.0</v>
      </c>
      <c r="AO95" s="91">
        <f>IF($A95="","",SUMIFS(of_hpd,of_poste,$A95,of_start,"&lt;="&amp;AO$90,of_end,"&gt;="&amp;AO$90))</f>
        <v>0.0</v>
      </c>
      <c r="AP95" s="91">
        <f>IF($A95="","",SUMIFS(of_hpd,of_poste,$A95,of_start,"&lt;="&amp;AP$90,of_end,"&gt;="&amp;AP$90))</f>
        <v>0.0</v>
      </c>
      <c r="AQ95" s="91">
        <f>IF($A95="","",SUMIFS(of_hpd,of_poste,$A95,of_start,"&lt;="&amp;AQ$90,of_end,"&gt;="&amp;AQ$90))</f>
        <v>0.0</v>
      </c>
      <c r="AR95" s="91">
        <f>IF($A95="","",SUMIFS(of_hpd,of_poste,$A95,of_start,"&lt;="&amp;AR$90,of_end,"&gt;="&amp;AR$90))</f>
        <v>0.0</v>
      </c>
      <c r="AS95" s="91">
        <f>IF($A95="","",SUMIFS(of_hpd,of_poste,$A95,of_start,"&lt;="&amp;AS$90,of_end,"&gt;="&amp;AS$90))</f>
        <v>0.0</v>
      </c>
      <c r="AT95" s="91">
        <f>IF($A95="","",SUMIFS(of_hpd,of_poste,$A95,of_start,"&lt;="&amp;AT$90,of_end,"&gt;="&amp;AT$90))</f>
        <v>0.0</v>
      </c>
      <c r="AU95" s="91">
        <f>IF($A95="","",SUMIFS(of_hpd,of_poste,$A95,of_start,"&lt;="&amp;AU$90,of_end,"&gt;="&amp;AU$90))</f>
        <v>0.0</v>
      </c>
      <c r="AV95" s="91">
        <f>IF($A95="","",SUMIFS(of_hpd,of_poste,$A95,of_start,"&lt;="&amp;AV$90,of_end,"&gt;="&amp;AV$90))</f>
        <v>0.0</v>
      </c>
      <c r="AW95" s="91">
        <f>IF($A95="","",SUMIFS(of_hpd,of_poste,$A95,of_start,"&lt;="&amp;AW$90,of_end,"&gt;="&amp;AW$90))</f>
        <v>0.0</v>
      </c>
      <c r="AX95" s="91">
        <f>IF($A95="","",SUMIFS(of_hpd,of_poste,$A95,of_start,"&lt;="&amp;AX$90,of_end,"&gt;="&amp;AX$90))</f>
        <v>0.0</v>
      </c>
      <c r="AY95" s="91">
        <f>IF($A95="","",SUMIFS(of_hpd,of_poste,$A95,of_start,"&lt;="&amp;AY$90,of_end,"&gt;="&amp;AY$90))</f>
        <v>0.0</v>
      </c>
      <c r="AZ95" s="91">
        <f>IF($A95="","",SUMIFS(of_hpd,of_poste,$A95,of_start,"&lt;="&amp;AZ$90,of_end,"&gt;="&amp;AZ$90))</f>
        <v>0.0</v>
      </c>
      <c r="BA95" s="91">
        <f>IF($A95="","",SUMIFS(of_hpd,of_poste,$A95,of_start,"&lt;="&amp;BA$90,of_end,"&gt;="&amp;BA$90))</f>
        <v>0.0</v>
      </c>
      <c r="BB95" s="91">
        <f>IF($A95="","",SUMIFS(of_hpd,of_poste,$A95,of_start,"&lt;="&amp;BB$90,of_end,"&gt;="&amp;BB$90))</f>
        <v>0.0</v>
      </c>
      <c r="BC95" s="91">
        <f>IF($A95="","",SUMIFS(of_hpd,of_poste,$A95,of_start,"&lt;="&amp;BC$90,of_end,"&gt;="&amp;BC$90))</f>
        <v>0.0</v>
      </c>
      <c r="BD95" s="91">
        <f>IF($A95="","",SUMIFS(of_hpd,of_poste,$A95,of_start,"&lt;="&amp;BD$90,of_end,"&gt;="&amp;BD$90))</f>
        <v>0.0</v>
      </c>
      <c r="BE95" s="91">
        <f>IF($A95="","",SUMIFS(of_hpd,of_poste,$A95,of_start,"&lt;="&amp;BE$90,of_end,"&gt;="&amp;BE$90))</f>
        <v>0.0</v>
      </c>
      <c r="BF95" s="91">
        <f>IF($A95="","",SUMIFS(of_hpd,of_poste,$A95,of_start,"&lt;="&amp;BF$90,of_end,"&gt;="&amp;BF$90))</f>
        <v>0.0</v>
      </c>
      <c r="BG95" s="91">
        <f>IF($A95="","",SUMIFS(of_hpd,of_poste,$A95,of_start,"&lt;="&amp;BG$90,of_end,"&gt;="&amp;BG$90))</f>
        <v>0.0</v>
      </c>
      <c r="BH95" s="91">
        <f>IF($A95="","",SUMIFS(of_hpd,of_poste,$A95,of_start,"&lt;="&amp;BH$90,of_end,"&gt;="&amp;BH$90))</f>
        <v>0.0</v>
      </c>
      <c r="BI95" s="91">
        <f>IF($A95="","",SUMIFS(of_hpd,of_poste,$A95,of_start,"&lt;="&amp;BI$90,of_end,"&gt;="&amp;BI$90))</f>
        <v>0.0</v>
      </c>
      <c r="BJ95" s="91">
        <f>IF($A95="","",SUMIFS(of_hpd,of_poste,$A95,of_start,"&lt;="&amp;BJ$90,of_end,"&gt;="&amp;BJ$90))</f>
        <v>0.0</v>
      </c>
      <c r="BK95" s="91">
        <f>IF($A95="","",SUMIFS(of_hpd,of_poste,$A95,of_start,"&lt;="&amp;BK$90,of_end,"&gt;="&amp;BK$90))</f>
        <v>0.0</v>
      </c>
      <c r="BL95" s="91">
        <f>IF($A95="","",SUMIFS(of_hpd,of_poste,$A95,of_start,"&lt;="&amp;BL$90,of_end,"&gt;="&amp;BL$90))</f>
        <v>0.0</v>
      </c>
      <c r="BM95" s="91">
        <f>IF($A95="","",SUMIFS(of_hpd,of_poste,$A95,of_start,"&lt;="&amp;BM$90,of_end,"&gt;="&amp;BM$90))</f>
        <v>0.0</v>
      </c>
      <c r="BN95" s="91">
        <f>IF($A95="","",SUMIFS(of_hpd,of_poste,$A95,of_start,"&lt;="&amp;BN$90,of_end,"&gt;="&amp;BN$90))</f>
        <v>0.0</v>
      </c>
      <c r="BO95" s="91">
        <f>IF($A95="","",SUMIFS(of_hpd,of_poste,$A95,of_start,"&lt;="&amp;BO$90,of_end,"&gt;="&amp;BO$90))</f>
        <v>0.0</v>
      </c>
      <c r="BP95" s="91">
        <f>IF($A95="","",SUMIFS(of_hpd,of_poste,$A95,of_start,"&lt;="&amp;BP$90,of_end,"&gt;="&amp;BP$90))</f>
        <v>0.0</v>
      </c>
      <c r="BQ95" s="91">
        <f>IF($A95="","",SUMIFS(of_hpd,of_poste,$A95,of_start,"&lt;="&amp;BQ$90,of_end,"&gt;="&amp;BQ$90))</f>
        <v>0.0</v>
      </c>
      <c r="BR95" s="91">
        <f>IF($A95="","",SUMIFS(of_hpd,of_poste,$A95,of_start,"&lt;="&amp;BR$90,of_end,"&gt;="&amp;BR$90))</f>
        <v>0.0</v>
      </c>
      <c r="BS95" s="91">
        <f>IF($A95="","",SUMIFS(of_hpd,of_poste,$A95,of_start,"&lt;="&amp;BS$90,of_end,"&gt;="&amp;BS$90))</f>
        <v>0.0</v>
      </c>
      <c r="BT95" s="91">
        <f>IF($A95="","",SUMIFS(of_hpd,of_poste,$A95,of_start,"&lt;="&amp;BT$90,of_end,"&gt;="&amp;BT$90))</f>
        <v>0.0</v>
      </c>
      <c r="BU95" s="91">
        <f>IF($A95="","",SUMIFS(of_hpd,of_poste,$A95,of_start,"&lt;="&amp;BU$90,of_end,"&gt;="&amp;BU$90))</f>
        <v>0.0</v>
      </c>
      <c r="BV95" s="91">
        <f>IF($A95="","",SUMIFS(of_hpd,of_poste,$A95,of_start,"&lt;="&amp;BV$90,of_end,"&gt;="&amp;BV$90))</f>
        <v>0.0</v>
      </c>
    </row>
    <row r="96">
      <c r="A96" s="90" t="str">
        <f>IF(INDEX(po_code,5)="","",INDEX(po_code,5))</f>
        <v>SOUD</v>
      </c>
      <c r="C96" s="91">
        <f>IF($A96="","",SUMIFS(of_hpd,of_poste,$A96,of_start,"&lt;="&amp;C$90,of_end,"&gt;="&amp;C$90))</f>
        <v>5.22333333333333</v>
      </c>
      <c r="D96" s="91">
        <f>IF($A96="","",SUMIFS(of_hpd,of_poste,$A96,of_start,"&lt;="&amp;D$90,of_end,"&gt;="&amp;D$90))</f>
        <v>5.22333333333333</v>
      </c>
      <c r="E96" s="91">
        <f>IF($A96="","",SUMIFS(of_hpd,of_poste,$A96,of_start,"&lt;="&amp;E$90,of_end,"&gt;="&amp;E$90))</f>
        <v>5.22333333333333</v>
      </c>
      <c r="F96" s="91">
        <f>IF($A96="","",SUMIFS(of_hpd,of_poste,$A96,of_start,"&lt;="&amp;F$90,of_end,"&gt;="&amp;F$90))</f>
        <v>6.66666666666667</v>
      </c>
      <c r="G96" s="91">
        <f>IF($A96="","",SUMIFS(of_hpd,of_poste,$A96,of_start,"&lt;="&amp;G$90,of_end,"&gt;="&amp;G$90))</f>
        <v>6.66666666666667</v>
      </c>
      <c r="H96" s="91">
        <f>IF($A96="","",SUMIFS(of_hpd,of_poste,$A96,of_start,"&lt;="&amp;H$90,of_end,"&gt;="&amp;H$90))</f>
        <v>6.66666666666667</v>
      </c>
      <c r="I96" s="91">
        <f>IF($A96="","",SUMIFS(of_hpd,of_poste,$A96,of_start,"&lt;="&amp;I$90,of_end,"&gt;="&amp;I$90))</f>
        <v>6.0825</v>
      </c>
      <c r="J96" s="91">
        <f>IF($A96="","",SUMIFS(of_hpd,of_poste,$A96,of_start,"&lt;="&amp;J$90,of_end,"&gt;="&amp;J$90))</f>
        <v>6.0825</v>
      </c>
      <c r="K96" s="91">
        <f>IF($A96="","",SUMIFS(of_hpd,of_poste,$A96,of_start,"&lt;="&amp;K$90,of_end,"&gt;="&amp;K$90))</f>
        <v>6.0825</v>
      </c>
      <c r="L96" s="91">
        <f>IF($A96="","",SUMIFS(of_hpd,of_poste,$A96,of_start,"&lt;="&amp;L$90,of_end,"&gt;="&amp;L$90))</f>
        <v>6.0825</v>
      </c>
      <c r="M96" s="91">
        <f>IF($A96="","",SUMIFS(of_hpd,of_poste,$A96,of_start,"&lt;="&amp;M$90,of_end,"&gt;="&amp;M$90))</f>
        <v>6.534</v>
      </c>
      <c r="N96" s="91">
        <f>IF($A96="","",SUMIFS(of_hpd,of_poste,$A96,of_start,"&lt;="&amp;N$90,of_end,"&gt;="&amp;N$90))</f>
        <v>6.534</v>
      </c>
      <c r="O96" s="91">
        <f>IF($A96="","",SUMIFS(of_hpd,of_poste,$A96,of_start,"&lt;="&amp;O$90,of_end,"&gt;="&amp;O$90))</f>
        <v>6.534</v>
      </c>
      <c r="P96" s="91">
        <f>IF($A96="","",SUMIFS(of_hpd,of_poste,$A96,of_start,"&lt;="&amp;P$90,of_end,"&gt;="&amp;P$90))</f>
        <v>6.534</v>
      </c>
      <c r="Q96" s="91">
        <f>IF($A96="","",SUMIFS(of_hpd,of_poste,$A96,of_start,"&lt;="&amp;Q$90,of_end,"&gt;="&amp;Q$90))</f>
        <v>6.534</v>
      </c>
      <c r="R96" s="91">
        <f>IF($A96="","",SUMIFS(of_hpd,of_poste,$A96,of_start,"&lt;="&amp;R$90,of_end,"&gt;="&amp;R$90))</f>
        <v>6.66666666666667</v>
      </c>
      <c r="S96" s="91">
        <f>IF($A96="","",SUMIFS(of_hpd,of_poste,$A96,of_start,"&lt;="&amp;S$90,of_end,"&gt;="&amp;S$90))</f>
        <v>6.66666666666667</v>
      </c>
      <c r="T96" s="91">
        <f>IF($A96="","",SUMIFS(of_hpd,of_poste,$A96,of_start,"&lt;="&amp;T$90,of_end,"&gt;="&amp;T$90))</f>
        <v>6.66666666666667</v>
      </c>
      <c r="U96" s="91">
        <f>IF($A96="","",SUMIFS(of_hpd,of_poste,$A96,of_start,"&lt;="&amp;U$90,of_end,"&gt;="&amp;U$90))</f>
        <v>0.0</v>
      </c>
      <c r="V96" s="91">
        <f>IF($A96="","",SUMIFS(of_hpd,of_poste,$A96,of_start,"&lt;="&amp;V$90,of_end,"&gt;="&amp;V$90))</f>
        <v>0.0</v>
      </c>
      <c r="W96" s="91">
        <f>IF($A96="","",SUMIFS(of_hpd,of_poste,$A96,of_start,"&lt;="&amp;W$90,of_end,"&gt;="&amp;W$90))</f>
        <v>0.0</v>
      </c>
      <c r="X96" s="91">
        <f>IF($A96="","",SUMIFS(of_hpd,of_poste,$A96,of_start,"&lt;="&amp;X$90,of_end,"&gt;="&amp;X$90))</f>
        <v>0.0</v>
      </c>
      <c r="Y96" s="91">
        <f>IF($A96="","",SUMIFS(of_hpd,of_poste,$A96,of_start,"&lt;="&amp;Y$90,of_end,"&gt;="&amp;Y$90))</f>
        <v>0.0</v>
      </c>
      <c r="Z96" s="91">
        <f>IF($A96="","",SUMIFS(of_hpd,of_poste,$A96,of_start,"&lt;="&amp;Z$90,of_end,"&gt;="&amp;Z$90))</f>
        <v>0.0</v>
      </c>
      <c r="AA96" s="91">
        <f>IF($A96="","",SUMIFS(of_hpd,of_poste,$A96,of_start,"&lt;="&amp;AA$90,of_end,"&gt;="&amp;AA$90))</f>
        <v>0.0</v>
      </c>
      <c r="AB96" s="91">
        <f>IF($A96="","",SUMIFS(of_hpd,of_poste,$A96,of_start,"&lt;="&amp;AB$90,of_end,"&gt;="&amp;AB$90))</f>
        <v>0.0</v>
      </c>
      <c r="AC96" s="91">
        <f>IF($A96="","",SUMIFS(of_hpd,of_poste,$A96,of_start,"&lt;="&amp;AC$90,of_end,"&gt;="&amp;AC$90))</f>
        <v>0.0</v>
      </c>
      <c r="AD96" s="91">
        <f>IF($A96="","",SUMIFS(of_hpd,of_poste,$A96,of_start,"&lt;="&amp;AD$90,of_end,"&gt;="&amp;AD$90))</f>
        <v>0.0</v>
      </c>
      <c r="AE96" s="91">
        <f>IF($A96="","",SUMIFS(of_hpd,of_poste,$A96,of_start,"&lt;="&amp;AE$90,of_end,"&gt;="&amp;AE$90))</f>
        <v>0.0</v>
      </c>
      <c r="AF96" s="91">
        <f>IF($A96="","",SUMIFS(of_hpd,of_poste,$A96,of_start,"&lt;="&amp;AF$90,of_end,"&gt;="&amp;AF$90))</f>
        <v>0.0</v>
      </c>
      <c r="AG96" s="91">
        <f>IF($A96="","",SUMIFS(of_hpd,of_poste,$A96,of_start,"&lt;="&amp;AG$90,of_end,"&gt;="&amp;AG$90))</f>
        <v>0.0</v>
      </c>
      <c r="AH96" s="91">
        <f>IF($A96="","",SUMIFS(of_hpd,of_poste,$A96,of_start,"&lt;="&amp;AH$90,of_end,"&gt;="&amp;AH$90))</f>
        <v>0.0</v>
      </c>
      <c r="AI96" s="91">
        <f>IF($A96="","",SUMIFS(of_hpd,of_poste,$A96,of_start,"&lt;="&amp;AI$90,of_end,"&gt;="&amp;AI$90))</f>
        <v>0.0</v>
      </c>
      <c r="AJ96" s="91">
        <f>IF($A96="","",SUMIFS(of_hpd,of_poste,$A96,of_start,"&lt;="&amp;AJ$90,of_end,"&gt;="&amp;AJ$90))</f>
        <v>0.0</v>
      </c>
      <c r="AK96" s="91">
        <f>IF($A96="","",SUMIFS(of_hpd,of_poste,$A96,of_start,"&lt;="&amp;AK$90,of_end,"&gt;="&amp;AK$90))</f>
        <v>0.0</v>
      </c>
      <c r="AL96" s="91">
        <f>IF($A96="","",SUMIFS(of_hpd,of_poste,$A96,of_start,"&lt;="&amp;AL$90,of_end,"&gt;="&amp;AL$90))</f>
        <v>0.0</v>
      </c>
      <c r="AM96" s="91">
        <f>IF($A96="","",SUMIFS(of_hpd,of_poste,$A96,of_start,"&lt;="&amp;AM$90,of_end,"&gt;="&amp;AM$90))</f>
        <v>0.0</v>
      </c>
      <c r="AN96" s="91">
        <f>IF($A96="","",SUMIFS(of_hpd,of_poste,$A96,of_start,"&lt;="&amp;AN$90,of_end,"&gt;="&amp;AN$90))</f>
        <v>0.0</v>
      </c>
      <c r="AO96" s="91">
        <f>IF($A96="","",SUMIFS(of_hpd,of_poste,$A96,of_start,"&lt;="&amp;AO$90,of_end,"&gt;="&amp;AO$90))</f>
        <v>0.0</v>
      </c>
      <c r="AP96" s="91">
        <f>IF($A96="","",SUMIFS(of_hpd,of_poste,$A96,of_start,"&lt;="&amp;AP$90,of_end,"&gt;="&amp;AP$90))</f>
        <v>0.0</v>
      </c>
      <c r="AQ96" s="91">
        <f>IF($A96="","",SUMIFS(of_hpd,of_poste,$A96,of_start,"&lt;="&amp;AQ$90,of_end,"&gt;="&amp;AQ$90))</f>
        <v>0.0</v>
      </c>
      <c r="AR96" s="91">
        <f>IF($A96="","",SUMIFS(of_hpd,of_poste,$A96,of_start,"&lt;="&amp;AR$90,of_end,"&gt;="&amp;AR$90))</f>
        <v>0.0</v>
      </c>
      <c r="AS96" s="91">
        <f>IF($A96="","",SUMIFS(of_hpd,of_poste,$A96,of_start,"&lt;="&amp;AS$90,of_end,"&gt;="&amp;AS$90))</f>
        <v>0.0</v>
      </c>
      <c r="AT96" s="91">
        <f>IF($A96="","",SUMIFS(of_hpd,of_poste,$A96,of_start,"&lt;="&amp;AT$90,of_end,"&gt;="&amp;AT$90))</f>
        <v>0.0</v>
      </c>
      <c r="AU96" s="91">
        <f>IF($A96="","",SUMIFS(of_hpd,of_poste,$A96,of_start,"&lt;="&amp;AU$90,of_end,"&gt;="&amp;AU$90))</f>
        <v>0.0</v>
      </c>
      <c r="AV96" s="91">
        <f>IF($A96="","",SUMIFS(of_hpd,of_poste,$A96,of_start,"&lt;="&amp;AV$90,of_end,"&gt;="&amp;AV$90))</f>
        <v>0.0</v>
      </c>
      <c r="AW96" s="91">
        <f>IF($A96="","",SUMIFS(of_hpd,of_poste,$A96,of_start,"&lt;="&amp;AW$90,of_end,"&gt;="&amp;AW$90))</f>
        <v>0.0</v>
      </c>
      <c r="AX96" s="91">
        <f>IF($A96="","",SUMIFS(of_hpd,of_poste,$A96,of_start,"&lt;="&amp;AX$90,of_end,"&gt;="&amp;AX$90))</f>
        <v>0.0</v>
      </c>
      <c r="AY96" s="91">
        <f>IF($A96="","",SUMIFS(of_hpd,of_poste,$A96,of_start,"&lt;="&amp;AY$90,of_end,"&gt;="&amp;AY$90))</f>
        <v>0.0</v>
      </c>
      <c r="AZ96" s="91">
        <f>IF($A96="","",SUMIFS(of_hpd,of_poste,$A96,of_start,"&lt;="&amp;AZ$90,of_end,"&gt;="&amp;AZ$90))</f>
        <v>0.0</v>
      </c>
      <c r="BA96" s="91">
        <f>IF($A96="","",SUMIFS(of_hpd,of_poste,$A96,of_start,"&lt;="&amp;BA$90,of_end,"&gt;="&amp;BA$90))</f>
        <v>0.0</v>
      </c>
      <c r="BB96" s="91">
        <f>IF($A96="","",SUMIFS(of_hpd,of_poste,$A96,of_start,"&lt;="&amp;BB$90,of_end,"&gt;="&amp;BB$90))</f>
        <v>0.0</v>
      </c>
      <c r="BC96" s="91">
        <f>IF($A96="","",SUMIFS(of_hpd,of_poste,$A96,of_start,"&lt;="&amp;BC$90,of_end,"&gt;="&amp;BC$90))</f>
        <v>0.0</v>
      </c>
      <c r="BD96" s="91">
        <f>IF($A96="","",SUMIFS(of_hpd,of_poste,$A96,of_start,"&lt;="&amp;BD$90,of_end,"&gt;="&amp;BD$90))</f>
        <v>0.0</v>
      </c>
      <c r="BE96" s="91">
        <f>IF($A96="","",SUMIFS(of_hpd,of_poste,$A96,of_start,"&lt;="&amp;BE$90,of_end,"&gt;="&amp;BE$90))</f>
        <v>0.0</v>
      </c>
      <c r="BF96" s="91">
        <f>IF($A96="","",SUMIFS(of_hpd,of_poste,$A96,of_start,"&lt;="&amp;BF$90,of_end,"&gt;="&amp;BF$90))</f>
        <v>0.0</v>
      </c>
      <c r="BG96" s="91">
        <f>IF($A96="","",SUMIFS(of_hpd,of_poste,$A96,of_start,"&lt;="&amp;BG$90,of_end,"&gt;="&amp;BG$90))</f>
        <v>0.0</v>
      </c>
      <c r="BH96" s="91">
        <f>IF($A96="","",SUMIFS(of_hpd,of_poste,$A96,of_start,"&lt;="&amp;BH$90,of_end,"&gt;="&amp;BH$90))</f>
        <v>0.0</v>
      </c>
      <c r="BI96" s="91">
        <f>IF($A96="","",SUMIFS(of_hpd,of_poste,$A96,of_start,"&lt;="&amp;BI$90,of_end,"&gt;="&amp;BI$90))</f>
        <v>0.0</v>
      </c>
      <c r="BJ96" s="91">
        <f>IF($A96="","",SUMIFS(of_hpd,of_poste,$A96,of_start,"&lt;="&amp;BJ$90,of_end,"&gt;="&amp;BJ$90))</f>
        <v>0.0</v>
      </c>
      <c r="BK96" s="91">
        <f>IF($A96="","",SUMIFS(of_hpd,of_poste,$A96,of_start,"&lt;="&amp;BK$90,of_end,"&gt;="&amp;BK$90))</f>
        <v>0.0</v>
      </c>
      <c r="BL96" s="91">
        <f>IF($A96="","",SUMIFS(of_hpd,of_poste,$A96,of_start,"&lt;="&amp;BL$90,of_end,"&gt;="&amp;BL$90))</f>
        <v>0.0</v>
      </c>
      <c r="BM96" s="91">
        <f>IF($A96="","",SUMIFS(of_hpd,of_poste,$A96,of_start,"&lt;="&amp;BM$90,of_end,"&gt;="&amp;BM$90))</f>
        <v>0.0</v>
      </c>
      <c r="BN96" s="91">
        <f>IF($A96="","",SUMIFS(of_hpd,of_poste,$A96,of_start,"&lt;="&amp;BN$90,of_end,"&gt;="&amp;BN$90))</f>
        <v>0.0</v>
      </c>
      <c r="BO96" s="91">
        <f>IF($A96="","",SUMIFS(of_hpd,of_poste,$A96,of_start,"&lt;="&amp;BO$90,of_end,"&gt;="&amp;BO$90))</f>
        <v>0.0</v>
      </c>
      <c r="BP96" s="91">
        <f>IF($A96="","",SUMIFS(of_hpd,of_poste,$A96,of_start,"&lt;="&amp;BP$90,of_end,"&gt;="&amp;BP$90))</f>
        <v>0.0</v>
      </c>
      <c r="BQ96" s="91">
        <f>IF($A96="","",SUMIFS(of_hpd,of_poste,$A96,of_start,"&lt;="&amp;BQ$90,of_end,"&gt;="&amp;BQ$90))</f>
        <v>0.0</v>
      </c>
      <c r="BR96" s="91">
        <f>IF($A96="","",SUMIFS(of_hpd,of_poste,$A96,of_start,"&lt;="&amp;BR$90,of_end,"&gt;="&amp;BR$90))</f>
        <v>0.0</v>
      </c>
      <c r="BS96" s="91">
        <f>IF($A96="","",SUMIFS(of_hpd,of_poste,$A96,of_start,"&lt;="&amp;BS$90,of_end,"&gt;="&amp;BS$90))</f>
        <v>0.0</v>
      </c>
      <c r="BT96" s="91">
        <f>IF($A96="","",SUMIFS(of_hpd,of_poste,$A96,of_start,"&lt;="&amp;BT$90,of_end,"&gt;="&amp;BT$90))</f>
        <v>0.0</v>
      </c>
      <c r="BU96" s="91">
        <f>IF($A96="","",SUMIFS(of_hpd,of_poste,$A96,of_start,"&lt;="&amp;BU$90,of_end,"&gt;="&amp;BU$90))</f>
        <v>0.0</v>
      </c>
      <c r="BV96" s="91">
        <f>IF($A96="","",SUMIFS(of_hpd,of_poste,$A96,of_start,"&lt;="&amp;BV$90,of_end,"&gt;="&amp;BV$90))</f>
        <v>0.0</v>
      </c>
    </row>
    <row r="97">
      <c r="A97" s="90" t="str">
        <f>IF(INDEX(po_code,6)="","",INDEX(po_code,6))</f>
        <v>PEINT</v>
      </c>
      <c r="C97" s="91">
        <f>IF($A97="","",SUMIFS(of_hpd,of_poste,$A97,of_start,"&lt;="&amp;C$90,of_end,"&gt;="&amp;C$90))</f>
        <v>0.0</v>
      </c>
      <c r="D97" s="91">
        <f>IF($A97="","",SUMIFS(of_hpd,of_poste,$A97,of_start,"&lt;="&amp;D$90,of_end,"&gt;="&amp;D$90))</f>
        <v>0.0</v>
      </c>
      <c r="E97" s="91">
        <f>IF($A97="","",SUMIFS(of_hpd,of_poste,$A97,of_start,"&lt;="&amp;E$90,of_end,"&gt;="&amp;E$90))</f>
        <v>0.0</v>
      </c>
      <c r="F97" s="91">
        <f>IF($A97="","",SUMIFS(of_hpd,of_poste,$A97,of_start,"&lt;="&amp;F$90,of_end,"&gt;="&amp;F$90))</f>
        <v>0.0</v>
      </c>
      <c r="G97" s="91">
        <f>IF($A97="","",SUMIFS(of_hpd,of_poste,$A97,of_start,"&lt;="&amp;G$90,of_end,"&gt;="&amp;G$90))</f>
        <v>0.0</v>
      </c>
      <c r="H97" s="91">
        <f>IF($A97="","",SUMIFS(of_hpd,of_poste,$A97,of_start,"&lt;="&amp;H$90,of_end,"&gt;="&amp;H$90))</f>
        <v>0.0</v>
      </c>
      <c r="I97" s="91">
        <f>IF($A97="","",SUMIFS(of_hpd,of_poste,$A97,of_start,"&lt;="&amp;I$90,of_end,"&gt;="&amp;I$90))</f>
        <v>4.1</v>
      </c>
      <c r="J97" s="91">
        <f>IF($A97="","",SUMIFS(of_hpd,of_poste,$A97,of_start,"&lt;="&amp;J$90,of_end,"&gt;="&amp;J$90))</f>
        <v>0.0</v>
      </c>
      <c r="K97" s="91">
        <f>IF($A97="","",SUMIFS(of_hpd,of_poste,$A97,of_start,"&lt;="&amp;K$90,of_end,"&gt;="&amp;K$90))</f>
        <v>0.0</v>
      </c>
      <c r="L97" s="91">
        <f>IF($A97="","",SUMIFS(of_hpd,of_poste,$A97,of_start,"&lt;="&amp;L$90,of_end,"&gt;="&amp;L$90))</f>
        <v>0.0</v>
      </c>
      <c r="M97" s="91">
        <f>IF($A97="","",SUMIFS(of_hpd,of_poste,$A97,of_start,"&lt;="&amp;M$90,of_end,"&gt;="&amp;M$90))</f>
        <v>0.0</v>
      </c>
      <c r="N97" s="91">
        <f>IF($A97="","",SUMIFS(of_hpd,of_poste,$A97,of_start,"&lt;="&amp;N$90,of_end,"&gt;="&amp;N$90))</f>
        <v>0.0</v>
      </c>
      <c r="O97" s="91">
        <f>IF($A97="","",SUMIFS(of_hpd,of_poste,$A97,of_start,"&lt;="&amp;O$90,of_end,"&gt;="&amp;O$90))</f>
        <v>0.0</v>
      </c>
      <c r="P97" s="91">
        <f>IF($A97="","",SUMIFS(of_hpd,of_poste,$A97,of_start,"&lt;="&amp;P$90,of_end,"&gt;="&amp;P$90))</f>
        <v>0.0</v>
      </c>
      <c r="Q97" s="91">
        <f>IF($A97="","",SUMIFS(of_hpd,of_poste,$A97,of_start,"&lt;="&amp;Q$90,of_end,"&gt;="&amp;Q$90))</f>
        <v>0.0</v>
      </c>
      <c r="R97" s="91">
        <f>IF($A97="","",SUMIFS(of_hpd,of_poste,$A97,of_start,"&lt;="&amp;R$90,of_end,"&gt;="&amp;R$90))</f>
        <v>6.5</v>
      </c>
      <c r="S97" s="91">
        <f>IF($A97="","",SUMIFS(of_hpd,of_poste,$A97,of_start,"&lt;="&amp;S$90,of_end,"&gt;="&amp;S$90))</f>
        <v>0.0</v>
      </c>
      <c r="T97" s="91">
        <f>IF($A97="","",SUMIFS(of_hpd,of_poste,$A97,of_start,"&lt;="&amp;T$90,of_end,"&gt;="&amp;T$90))</f>
        <v>0.0</v>
      </c>
      <c r="U97" s="91">
        <f>IF($A97="","",SUMIFS(of_hpd,of_poste,$A97,of_start,"&lt;="&amp;U$90,of_end,"&gt;="&amp;U$90))</f>
        <v>0.0</v>
      </c>
      <c r="V97" s="91">
        <f>IF($A97="","",SUMIFS(of_hpd,of_poste,$A97,of_start,"&lt;="&amp;V$90,of_end,"&gt;="&amp;V$90))</f>
        <v>0.0</v>
      </c>
      <c r="W97" s="91">
        <f>IF($A97="","",SUMIFS(of_hpd,of_poste,$A97,of_start,"&lt;="&amp;W$90,of_end,"&gt;="&amp;W$90))</f>
        <v>0.0</v>
      </c>
      <c r="X97" s="91">
        <f>IF($A97="","",SUMIFS(of_hpd,of_poste,$A97,of_start,"&lt;="&amp;X$90,of_end,"&gt;="&amp;X$90))</f>
        <v>0.0</v>
      </c>
      <c r="Y97" s="91">
        <f>IF($A97="","",SUMIFS(of_hpd,of_poste,$A97,of_start,"&lt;="&amp;Y$90,of_end,"&gt;="&amp;Y$90))</f>
        <v>0.0</v>
      </c>
      <c r="Z97" s="91">
        <f>IF($A97="","",SUMIFS(of_hpd,of_poste,$A97,of_start,"&lt;="&amp;Z$90,of_end,"&gt;="&amp;Z$90))</f>
        <v>0.0</v>
      </c>
      <c r="AA97" s="91">
        <f>IF($A97="","",SUMIFS(of_hpd,of_poste,$A97,of_start,"&lt;="&amp;AA$90,of_end,"&gt;="&amp;AA$90))</f>
        <v>0.0</v>
      </c>
      <c r="AB97" s="91">
        <f>IF($A97="","",SUMIFS(of_hpd,of_poste,$A97,of_start,"&lt;="&amp;AB$90,of_end,"&gt;="&amp;AB$90))</f>
        <v>0.0</v>
      </c>
      <c r="AC97" s="91">
        <f>IF($A97="","",SUMIFS(of_hpd,of_poste,$A97,of_start,"&lt;="&amp;AC$90,of_end,"&gt;="&amp;AC$90))</f>
        <v>0.0</v>
      </c>
      <c r="AD97" s="91">
        <f>IF($A97="","",SUMIFS(of_hpd,of_poste,$A97,of_start,"&lt;="&amp;AD$90,of_end,"&gt;="&amp;AD$90))</f>
        <v>0.0</v>
      </c>
      <c r="AE97" s="91">
        <f>IF($A97="","",SUMIFS(of_hpd,of_poste,$A97,of_start,"&lt;="&amp;AE$90,of_end,"&gt;="&amp;AE$90))</f>
        <v>0.0</v>
      </c>
      <c r="AF97" s="91">
        <f>IF($A97="","",SUMIFS(of_hpd,of_poste,$A97,of_start,"&lt;="&amp;AF$90,of_end,"&gt;="&amp;AF$90))</f>
        <v>0.0</v>
      </c>
      <c r="AG97" s="91">
        <f>IF($A97="","",SUMIFS(of_hpd,of_poste,$A97,of_start,"&lt;="&amp;AG$90,of_end,"&gt;="&amp;AG$90))</f>
        <v>0.0</v>
      </c>
      <c r="AH97" s="91">
        <f>IF($A97="","",SUMIFS(of_hpd,of_poste,$A97,of_start,"&lt;="&amp;AH$90,of_end,"&gt;="&amp;AH$90))</f>
        <v>0.0</v>
      </c>
      <c r="AI97" s="91">
        <f>IF($A97="","",SUMIFS(of_hpd,of_poste,$A97,of_start,"&lt;="&amp;AI$90,of_end,"&gt;="&amp;AI$90))</f>
        <v>0.0</v>
      </c>
      <c r="AJ97" s="91">
        <f>IF($A97="","",SUMIFS(of_hpd,of_poste,$A97,of_start,"&lt;="&amp;AJ$90,of_end,"&gt;="&amp;AJ$90))</f>
        <v>0.0</v>
      </c>
      <c r="AK97" s="91">
        <f>IF($A97="","",SUMIFS(of_hpd,of_poste,$A97,of_start,"&lt;="&amp;AK$90,of_end,"&gt;="&amp;AK$90))</f>
        <v>0.0</v>
      </c>
      <c r="AL97" s="91">
        <f>IF($A97="","",SUMIFS(of_hpd,of_poste,$A97,of_start,"&lt;="&amp;AL$90,of_end,"&gt;="&amp;AL$90))</f>
        <v>0.0</v>
      </c>
      <c r="AM97" s="91">
        <f>IF($A97="","",SUMIFS(of_hpd,of_poste,$A97,of_start,"&lt;="&amp;AM$90,of_end,"&gt;="&amp;AM$90))</f>
        <v>0.0</v>
      </c>
      <c r="AN97" s="91">
        <f>IF($A97="","",SUMIFS(of_hpd,of_poste,$A97,of_start,"&lt;="&amp;AN$90,of_end,"&gt;="&amp;AN$90))</f>
        <v>0.0</v>
      </c>
      <c r="AO97" s="91">
        <f>IF($A97="","",SUMIFS(of_hpd,of_poste,$A97,of_start,"&lt;="&amp;AO$90,of_end,"&gt;="&amp;AO$90))</f>
        <v>0.0</v>
      </c>
      <c r="AP97" s="91">
        <f>IF($A97="","",SUMIFS(of_hpd,of_poste,$A97,of_start,"&lt;="&amp;AP$90,of_end,"&gt;="&amp;AP$90))</f>
        <v>0.0</v>
      </c>
      <c r="AQ97" s="91">
        <f>IF($A97="","",SUMIFS(of_hpd,of_poste,$A97,of_start,"&lt;="&amp;AQ$90,of_end,"&gt;="&amp;AQ$90))</f>
        <v>0.0</v>
      </c>
      <c r="AR97" s="91">
        <f>IF($A97="","",SUMIFS(of_hpd,of_poste,$A97,of_start,"&lt;="&amp;AR$90,of_end,"&gt;="&amp;AR$90))</f>
        <v>0.0</v>
      </c>
      <c r="AS97" s="91">
        <f>IF($A97="","",SUMIFS(of_hpd,of_poste,$A97,of_start,"&lt;="&amp;AS$90,of_end,"&gt;="&amp;AS$90))</f>
        <v>0.0</v>
      </c>
      <c r="AT97" s="91">
        <f>IF($A97="","",SUMIFS(of_hpd,of_poste,$A97,of_start,"&lt;="&amp;AT$90,of_end,"&gt;="&amp;AT$90))</f>
        <v>0.0</v>
      </c>
      <c r="AU97" s="91">
        <f>IF($A97="","",SUMIFS(of_hpd,of_poste,$A97,of_start,"&lt;="&amp;AU$90,of_end,"&gt;="&amp;AU$90))</f>
        <v>0.0</v>
      </c>
      <c r="AV97" s="91">
        <f>IF($A97="","",SUMIFS(of_hpd,of_poste,$A97,of_start,"&lt;="&amp;AV$90,of_end,"&gt;="&amp;AV$90))</f>
        <v>0.0</v>
      </c>
      <c r="AW97" s="91">
        <f>IF($A97="","",SUMIFS(of_hpd,of_poste,$A97,of_start,"&lt;="&amp;AW$90,of_end,"&gt;="&amp;AW$90))</f>
        <v>0.0</v>
      </c>
      <c r="AX97" s="91">
        <f>IF($A97="","",SUMIFS(of_hpd,of_poste,$A97,of_start,"&lt;="&amp;AX$90,of_end,"&gt;="&amp;AX$90))</f>
        <v>0.0</v>
      </c>
      <c r="AY97" s="91">
        <f>IF($A97="","",SUMIFS(of_hpd,of_poste,$A97,of_start,"&lt;="&amp;AY$90,of_end,"&gt;="&amp;AY$90))</f>
        <v>0.0</v>
      </c>
      <c r="AZ97" s="91">
        <f>IF($A97="","",SUMIFS(of_hpd,of_poste,$A97,of_start,"&lt;="&amp;AZ$90,of_end,"&gt;="&amp;AZ$90))</f>
        <v>0.0</v>
      </c>
      <c r="BA97" s="91">
        <f>IF($A97="","",SUMIFS(of_hpd,of_poste,$A97,of_start,"&lt;="&amp;BA$90,of_end,"&gt;="&amp;BA$90))</f>
        <v>0.0</v>
      </c>
      <c r="BB97" s="91">
        <f>IF($A97="","",SUMIFS(of_hpd,of_poste,$A97,of_start,"&lt;="&amp;BB$90,of_end,"&gt;="&amp;BB$90))</f>
        <v>0.0</v>
      </c>
      <c r="BC97" s="91">
        <f>IF($A97="","",SUMIFS(of_hpd,of_poste,$A97,of_start,"&lt;="&amp;BC$90,of_end,"&gt;="&amp;BC$90))</f>
        <v>0.0</v>
      </c>
      <c r="BD97" s="91">
        <f>IF($A97="","",SUMIFS(of_hpd,of_poste,$A97,of_start,"&lt;="&amp;BD$90,of_end,"&gt;="&amp;BD$90))</f>
        <v>0.0</v>
      </c>
      <c r="BE97" s="91">
        <f>IF($A97="","",SUMIFS(of_hpd,of_poste,$A97,of_start,"&lt;="&amp;BE$90,of_end,"&gt;="&amp;BE$90))</f>
        <v>0.0</v>
      </c>
      <c r="BF97" s="91">
        <f>IF($A97="","",SUMIFS(of_hpd,of_poste,$A97,of_start,"&lt;="&amp;BF$90,of_end,"&gt;="&amp;BF$90))</f>
        <v>0.0</v>
      </c>
      <c r="BG97" s="91">
        <f>IF($A97="","",SUMIFS(of_hpd,of_poste,$A97,of_start,"&lt;="&amp;BG$90,of_end,"&gt;="&amp;BG$90))</f>
        <v>0.0</v>
      </c>
      <c r="BH97" s="91">
        <f>IF($A97="","",SUMIFS(of_hpd,of_poste,$A97,of_start,"&lt;="&amp;BH$90,of_end,"&gt;="&amp;BH$90))</f>
        <v>0.0</v>
      </c>
      <c r="BI97" s="91">
        <f>IF($A97="","",SUMIFS(of_hpd,of_poste,$A97,of_start,"&lt;="&amp;BI$90,of_end,"&gt;="&amp;BI$90))</f>
        <v>0.0</v>
      </c>
      <c r="BJ97" s="91">
        <f>IF($A97="","",SUMIFS(of_hpd,of_poste,$A97,of_start,"&lt;="&amp;BJ$90,of_end,"&gt;="&amp;BJ$90))</f>
        <v>0.0</v>
      </c>
      <c r="BK97" s="91">
        <f>IF($A97="","",SUMIFS(of_hpd,of_poste,$A97,of_start,"&lt;="&amp;BK$90,of_end,"&gt;="&amp;BK$90))</f>
        <v>0.0</v>
      </c>
      <c r="BL97" s="91">
        <f>IF($A97="","",SUMIFS(of_hpd,of_poste,$A97,of_start,"&lt;="&amp;BL$90,of_end,"&gt;="&amp;BL$90))</f>
        <v>0.0</v>
      </c>
      <c r="BM97" s="91">
        <f>IF($A97="","",SUMIFS(of_hpd,of_poste,$A97,of_start,"&lt;="&amp;BM$90,of_end,"&gt;="&amp;BM$90))</f>
        <v>0.0</v>
      </c>
      <c r="BN97" s="91">
        <f>IF($A97="","",SUMIFS(of_hpd,of_poste,$A97,of_start,"&lt;="&amp;BN$90,of_end,"&gt;="&amp;BN$90))</f>
        <v>0.0</v>
      </c>
      <c r="BO97" s="91">
        <f>IF($A97="","",SUMIFS(of_hpd,of_poste,$A97,of_start,"&lt;="&amp;BO$90,of_end,"&gt;="&amp;BO$90))</f>
        <v>0.0</v>
      </c>
      <c r="BP97" s="91">
        <f>IF($A97="","",SUMIFS(of_hpd,of_poste,$A97,of_start,"&lt;="&amp;BP$90,of_end,"&gt;="&amp;BP$90))</f>
        <v>0.0</v>
      </c>
      <c r="BQ97" s="91">
        <f>IF($A97="","",SUMIFS(of_hpd,of_poste,$A97,of_start,"&lt;="&amp;BQ$90,of_end,"&gt;="&amp;BQ$90))</f>
        <v>0.0</v>
      </c>
      <c r="BR97" s="91">
        <f>IF($A97="","",SUMIFS(of_hpd,of_poste,$A97,of_start,"&lt;="&amp;BR$90,of_end,"&gt;="&amp;BR$90))</f>
        <v>0.0</v>
      </c>
      <c r="BS97" s="91">
        <f>IF($A97="","",SUMIFS(of_hpd,of_poste,$A97,of_start,"&lt;="&amp;BS$90,of_end,"&gt;="&amp;BS$90))</f>
        <v>0.0</v>
      </c>
      <c r="BT97" s="91">
        <f>IF($A97="","",SUMIFS(of_hpd,of_poste,$A97,of_start,"&lt;="&amp;BT$90,of_end,"&gt;="&amp;BT$90))</f>
        <v>0.0</v>
      </c>
      <c r="BU97" s="91">
        <f>IF($A97="","",SUMIFS(of_hpd,of_poste,$A97,of_start,"&lt;="&amp;BU$90,of_end,"&gt;="&amp;BU$90))</f>
        <v>0.0</v>
      </c>
      <c r="BV97" s="91">
        <f>IF($A97="","",SUMIFS(of_hpd,of_poste,$A97,of_start,"&lt;="&amp;BV$90,of_end,"&gt;="&amp;BV$90))</f>
        <v>0.0</v>
      </c>
    </row>
    <row r="98">
      <c r="A98" s="90" t="str">
        <f>IF(INDEX(po_code,7)="","",INDEX(po_code,7))</f>
        <v>MONT</v>
      </c>
      <c r="C98" s="91">
        <f>IF($A98="","",SUMIFS(of_hpd,of_poste,$A98,of_start,"&lt;="&amp;C$90,of_end,"&gt;="&amp;C$90))</f>
        <v>7.06</v>
      </c>
      <c r="D98" s="91">
        <f>IF($A98="","",SUMIFS(of_hpd,of_poste,$A98,of_start,"&lt;="&amp;D$90,of_end,"&gt;="&amp;D$90))</f>
        <v>7.06</v>
      </c>
      <c r="E98" s="91">
        <f>IF($A98="","",SUMIFS(of_hpd,of_poste,$A98,of_start,"&lt;="&amp;E$90,of_end,"&gt;="&amp;E$90))</f>
        <v>7.06</v>
      </c>
      <c r="F98" s="91">
        <f>IF($A98="","",SUMIFS(of_hpd,of_poste,$A98,of_start,"&lt;="&amp;F$90,of_end,"&gt;="&amp;F$90))</f>
        <v>7.06</v>
      </c>
      <c r="G98" s="91">
        <f>IF($A98="","",SUMIFS(of_hpd,of_poste,$A98,of_start,"&lt;="&amp;G$90,of_end,"&gt;="&amp;G$90))</f>
        <v>7.06</v>
      </c>
      <c r="H98" s="91">
        <f>IF($A98="","",SUMIFS(of_hpd,of_poste,$A98,of_start,"&lt;="&amp;H$90,of_end,"&gt;="&amp;H$90))</f>
        <v>6.71</v>
      </c>
      <c r="I98" s="91">
        <f>IF($A98="","",SUMIFS(of_hpd,of_poste,$A98,of_start,"&lt;="&amp;I$90,of_end,"&gt;="&amp;I$90))</f>
        <v>6.71</v>
      </c>
      <c r="J98" s="91">
        <f>IF($A98="","",SUMIFS(of_hpd,of_poste,$A98,of_start,"&lt;="&amp;J$90,of_end,"&gt;="&amp;J$90))</f>
        <v>6.71</v>
      </c>
      <c r="K98" s="91">
        <f>IF($A98="","",SUMIFS(of_hpd,of_poste,$A98,of_start,"&lt;="&amp;K$90,of_end,"&gt;="&amp;K$90))</f>
        <v>6.71</v>
      </c>
      <c r="L98" s="91">
        <f>IF($A98="","",SUMIFS(of_hpd,of_poste,$A98,of_start,"&lt;="&amp;L$90,of_end,"&gt;="&amp;L$90))</f>
        <v>6.71</v>
      </c>
      <c r="M98" s="91">
        <f>IF($A98="","",SUMIFS(of_hpd,of_poste,$A98,of_start,"&lt;="&amp;M$90,of_end,"&gt;="&amp;M$90))</f>
        <v>6.71</v>
      </c>
      <c r="N98" s="91">
        <f>IF($A98="","",SUMIFS(of_hpd,of_poste,$A98,of_start,"&lt;="&amp;N$90,of_end,"&gt;="&amp;N$90))</f>
        <v>6.71</v>
      </c>
      <c r="O98" s="91">
        <f>IF($A98="","",SUMIFS(of_hpd,of_poste,$A98,of_start,"&lt;="&amp;O$90,of_end,"&gt;="&amp;O$90))</f>
        <v>7.075</v>
      </c>
      <c r="P98" s="91">
        <f>IF($A98="","",SUMIFS(of_hpd,of_poste,$A98,of_start,"&lt;="&amp;P$90,of_end,"&gt;="&amp;P$90))</f>
        <v>7.075</v>
      </c>
      <c r="Q98" s="91">
        <f>IF($A98="","",SUMIFS(of_hpd,of_poste,$A98,of_start,"&lt;="&amp;Q$90,of_end,"&gt;="&amp;Q$90))</f>
        <v>7.075</v>
      </c>
      <c r="R98" s="91">
        <f>IF($A98="","",SUMIFS(of_hpd,of_poste,$A98,of_start,"&lt;="&amp;R$90,of_end,"&gt;="&amp;R$90))</f>
        <v>7.075</v>
      </c>
      <c r="S98" s="91">
        <f>IF($A98="","",SUMIFS(of_hpd,of_poste,$A98,of_start,"&lt;="&amp;S$90,of_end,"&gt;="&amp;S$90))</f>
        <v>0.0</v>
      </c>
      <c r="T98" s="91">
        <f>IF($A98="","",SUMIFS(of_hpd,of_poste,$A98,of_start,"&lt;="&amp;T$90,of_end,"&gt;="&amp;T$90))</f>
        <v>0.0</v>
      </c>
      <c r="U98" s="91">
        <f>IF($A98="","",SUMIFS(of_hpd,of_poste,$A98,of_start,"&lt;="&amp;U$90,of_end,"&gt;="&amp;U$90))</f>
        <v>0.0</v>
      </c>
      <c r="V98" s="91">
        <f>IF($A98="","",SUMIFS(of_hpd,of_poste,$A98,of_start,"&lt;="&amp;V$90,of_end,"&gt;="&amp;V$90))</f>
        <v>0.0</v>
      </c>
      <c r="W98" s="91">
        <f>IF($A98="","",SUMIFS(of_hpd,of_poste,$A98,of_start,"&lt;="&amp;W$90,of_end,"&gt;="&amp;W$90))</f>
        <v>0.0</v>
      </c>
      <c r="X98" s="91">
        <f>IF($A98="","",SUMIFS(of_hpd,of_poste,$A98,of_start,"&lt;="&amp;X$90,of_end,"&gt;="&amp;X$90))</f>
        <v>0.0</v>
      </c>
      <c r="Y98" s="91">
        <f>IF($A98="","",SUMIFS(of_hpd,of_poste,$A98,of_start,"&lt;="&amp;Y$90,of_end,"&gt;="&amp;Y$90))</f>
        <v>0.0</v>
      </c>
      <c r="Z98" s="91">
        <f>IF($A98="","",SUMIFS(of_hpd,of_poste,$A98,of_start,"&lt;="&amp;Z$90,of_end,"&gt;="&amp;Z$90))</f>
        <v>0.0</v>
      </c>
      <c r="AA98" s="91">
        <f>IF($A98="","",SUMIFS(of_hpd,of_poste,$A98,of_start,"&lt;="&amp;AA$90,of_end,"&gt;="&amp;AA$90))</f>
        <v>0.0</v>
      </c>
      <c r="AB98" s="91">
        <f>IF($A98="","",SUMIFS(of_hpd,of_poste,$A98,of_start,"&lt;="&amp;AB$90,of_end,"&gt;="&amp;AB$90))</f>
        <v>0.0</v>
      </c>
      <c r="AC98" s="91">
        <f>IF($A98="","",SUMIFS(of_hpd,of_poste,$A98,of_start,"&lt;="&amp;AC$90,of_end,"&gt;="&amp;AC$90))</f>
        <v>0.0</v>
      </c>
      <c r="AD98" s="91">
        <f>IF($A98="","",SUMIFS(of_hpd,of_poste,$A98,of_start,"&lt;="&amp;AD$90,of_end,"&gt;="&amp;AD$90))</f>
        <v>0.0</v>
      </c>
      <c r="AE98" s="91">
        <f>IF($A98="","",SUMIFS(of_hpd,of_poste,$A98,of_start,"&lt;="&amp;AE$90,of_end,"&gt;="&amp;AE$90))</f>
        <v>0.0</v>
      </c>
      <c r="AF98" s="91">
        <f>IF($A98="","",SUMIFS(of_hpd,of_poste,$A98,of_start,"&lt;="&amp;AF$90,of_end,"&gt;="&amp;AF$90))</f>
        <v>0.0</v>
      </c>
      <c r="AG98" s="91">
        <f>IF($A98="","",SUMIFS(of_hpd,of_poste,$A98,of_start,"&lt;="&amp;AG$90,of_end,"&gt;="&amp;AG$90))</f>
        <v>0.0</v>
      </c>
      <c r="AH98" s="91">
        <f>IF($A98="","",SUMIFS(of_hpd,of_poste,$A98,of_start,"&lt;="&amp;AH$90,of_end,"&gt;="&amp;AH$90))</f>
        <v>0.0</v>
      </c>
      <c r="AI98" s="91">
        <f>IF($A98="","",SUMIFS(of_hpd,of_poste,$A98,of_start,"&lt;="&amp;AI$90,of_end,"&gt;="&amp;AI$90))</f>
        <v>0.0</v>
      </c>
      <c r="AJ98" s="91">
        <f>IF($A98="","",SUMIFS(of_hpd,of_poste,$A98,of_start,"&lt;="&amp;AJ$90,of_end,"&gt;="&amp;AJ$90))</f>
        <v>0.0</v>
      </c>
      <c r="AK98" s="91">
        <f>IF($A98="","",SUMIFS(of_hpd,of_poste,$A98,of_start,"&lt;="&amp;AK$90,of_end,"&gt;="&amp;AK$90))</f>
        <v>0.0</v>
      </c>
      <c r="AL98" s="91">
        <f>IF($A98="","",SUMIFS(of_hpd,of_poste,$A98,of_start,"&lt;="&amp;AL$90,of_end,"&gt;="&amp;AL$90))</f>
        <v>0.0</v>
      </c>
      <c r="AM98" s="91">
        <f>IF($A98="","",SUMIFS(of_hpd,of_poste,$A98,of_start,"&lt;="&amp;AM$90,of_end,"&gt;="&amp;AM$90))</f>
        <v>0.0</v>
      </c>
      <c r="AN98" s="91">
        <f>IF($A98="","",SUMIFS(of_hpd,of_poste,$A98,of_start,"&lt;="&amp;AN$90,of_end,"&gt;="&amp;AN$90))</f>
        <v>0.0</v>
      </c>
      <c r="AO98" s="91">
        <f>IF($A98="","",SUMIFS(of_hpd,of_poste,$A98,of_start,"&lt;="&amp;AO$90,of_end,"&gt;="&amp;AO$90))</f>
        <v>0.0</v>
      </c>
      <c r="AP98" s="91">
        <f>IF($A98="","",SUMIFS(of_hpd,of_poste,$A98,of_start,"&lt;="&amp;AP$90,of_end,"&gt;="&amp;AP$90))</f>
        <v>0.0</v>
      </c>
      <c r="AQ98" s="91">
        <f>IF($A98="","",SUMIFS(of_hpd,of_poste,$A98,of_start,"&lt;="&amp;AQ$90,of_end,"&gt;="&amp;AQ$90))</f>
        <v>0.0</v>
      </c>
      <c r="AR98" s="91">
        <f>IF($A98="","",SUMIFS(of_hpd,of_poste,$A98,of_start,"&lt;="&amp;AR$90,of_end,"&gt;="&amp;AR$90))</f>
        <v>0.0</v>
      </c>
      <c r="AS98" s="91">
        <f>IF($A98="","",SUMIFS(of_hpd,of_poste,$A98,of_start,"&lt;="&amp;AS$90,of_end,"&gt;="&amp;AS$90))</f>
        <v>0.0</v>
      </c>
      <c r="AT98" s="91">
        <f>IF($A98="","",SUMIFS(of_hpd,of_poste,$A98,of_start,"&lt;="&amp;AT$90,of_end,"&gt;="&amp;AT$90))</f>
        <v>0.0</v>
      </c>
      <c r="AU98" s="91">
        <f>IF($A98="","",SUMIFS(of_hpd,of_poste,$A98,of_start,"&lt;="&amp;AU$90,of_end,"&gt;="&amp;AU$90))</f>
        <v>0.0</v>
      </c>
      <c r="AV98" s="91">
        <f>IF($A98="","",SUMIFS(of_hpd,of_poste,$A98,of_start,"&lt;="&amp;AV$90,of_end,"&gt;="&amp;AV$90))</f>
        <v>0.0</v>
      </c>
      <c r="AW98" s="91">
        <f>IF($A98="","",SUMIFS(of_hpd,of_poste,$A98,of_start,"&lt;="&amp;AW$90,of_end,"&gt;="&amp;AW$90))</f>
        <v>0.0</v>
      </c>
      <c r="AX98" s="91">
        <f>IF($A98="","",SUMIFS(of_hpd,of_poste,$A98,of_start,"&lt;="&amp;AX$90,of_end,"&gt;="&amp;AX$90))</f>
        <v>0.0</v>
      </c>
      <c r="AY98" s="91">
        <f>IF($A98="","",SUMIFS(of_hpd,of_poste,$A98,of_start,"&lt;="&amp;AY$90,of_end,"&gt;="&amp;AY$90))</f>
        <v>0.0</v>
      </c>
      <c r="AZ98" s="91">
        <f>IF($A98="","",SUMIFS(of_hpd,of_poste,$A98,of_start,"&lt;="&amp;AZ$90,of_end,"&gt;="&amp;AZ$90))</f>
        <v>0.0</v>
      </c>
      <c r="BA98" s="91">
        <f>IF($A98="","",SUMIFS(of_hpd,of_poste,$A98,of_start,"&lt;="&amp;BA$90,of_end,"&gt;="&amp;BA$90))</f>
        <v>0.0</v>
      </c>
      <c r="BB98" s="91">
        <f>IF($A98="","",SUMIFS(of_hpd,of_poste,$A98,of_start,"&lt;="&amp;BB$90,of_end,"&gt;="&amp;BB$90))</f>
        <v>0.0</v>
      </c>
      <c r="BC98" s="91">
        <f>IF($A98="","",SUMIFS(of_hpd,of_poste,$A98,of_start,"&lt;="&amp;BC$90,of_end,"&gt;="&amp;BC$90))</f>
        <v>0.0</v>
      </c>
      <c r="BD98" s="91">
        <f>IF($A98="","",SUMIFS(of_hpd,of_poste,$A98,of_start,"&lt;="&amp;BD$90,of_end,"&gt;="&amp;BD$90))</f>
        <v>0.0</v>
      </c>
      <c r="BE98" s="91">
        <f>IF($A98="","",SUMIFS(of_hpd,of_poste,$A98,of_start,"&lt;="&amp;BE$90,of_end,"&gt;="&amp;BE$90))</f>
        <v>0.0</v>
      </c>
      <c r="BF98" s="91">
        <f>IF($A98="","",SUMIFS(of_hpd,of_poste,$A98,of_start,"&lt;="&amp;BF$90,of_end,"&gt;="&amp;BF$90))</f>
        <v>0.0</v>
      </c>
      <c r="BG98" s="91">
        <f>IF($A98="","",SUMIFS(of_hpd,of_poste,$A98,of_start,"&lt;="&amp;BG$90,of_end,"&gt;="&amp;BG$90))</f>
        <v>0.0</v>
      </c>
      <c r="BH98" s="91">
        <f>IF($A98="","",SUMIFS(of_hpd,of_poste,$A98,of_start,"&lt;="&amp;BH$90,of_end,"&gt;="&amp;BH$90))</f>
        <v>0.0</v>
      </c>
      <c r="BI98" s="91">
        <f>IF($A98="","",SUMIFS(of_hpd,of_poste,$A98,of_start,"&lt;="&amp;BI$90,of_end,"&gt;="&amp;BI$90))</f>
        <v>0.0</v>
      </c>
      <c r="BJ98" s="91">
        <f>IF($A98="","",SUMIFS(of_hpd,of_poste,$A98,of_start,"&lt;="&amp;BJ$90,of_end,"&gt;="&amp;BJ$90))</f>
        <v>0.0</v>
      </c>
      <c r="BK98" s="91">
        <f>IF($A98="","",SUMIFS(of_hpd,of_poste,$A98,of_start,"&lt;="&amp;BK$90,of_end,"&gt;="&amp;BK$90))</f>
        <v>0.0</v>
      </c>
      <c r="BL98" s="91">
        <f>IF($A98="","",SUMIFS(of_hpd,of_poste,$A98,of_start,"&lt;="&amp;BL$90,of_end,"&gt;="&amp;BL$90))</f>
        <v>0.0</v>
      </c>
      <c r="BM98" s="91">
        <f>IF($A98="","",SUMIFS(of_hpd,of_poste,$A98,of_start,"&lt;="&amp;BM$90,of_end,"&gt;="&amp;BM$90))</f>
        <v>0.0</v>
      </c>
      <c r="BN98" s="91">
        <f>IF($A98="","",SUMIFS(of_hpd,of_poste,$A98,of_start,"&lt;="&amp;BN$90,of_end,"&gt;="&amp;BN$90))</f>
        <v>0.0</v>
      </c>
      <c r="BO98" s="91">
        <f>IF($A98="","",SUMIFS(of_hpd,of_poste,$A98,of_start,"&lt;="&amp;BO$90,of_end,"&gt;="&amp;BO$90))</f>
        <v>0.0</v>
      </c>
      <c r="BP98" s="91">
        <f>IF($A98="","",SUMIFS(of_hpd,of_poste,$A98,of_start,"&lt;="&amp;BP$90,of_end,"&gt;="&amp;BP$90))</f>
        <v>0.0</v>
      </c>
      <c r="BQ98" s="91">
        <f>IF($A98="","",SUMIFS(of_hpd,of_poste,$A98,of_start,"&lt;="&amp;BQ$90,of_end,"&gt;="&amp;BQ$90))</f>
        <v>0.0</v>
      </c>
      <c r="BR98" s="91">
        <f>IF($A98="","",SUMIFS(of_hpd,of_poste,$A98,of_start,"&lt;="&amp;BR$90,of_end,"&gt;="&amp;BR$90))</f>
        <v>0.0</v>
      </c>
      <c r="BS98" s="91">
        <f>IF($A98="","",SUMIFS(of_hpd,of_poste,$A98,of_start,"&lt;="&amp;BS$90,of_end,"&gt;="&amp;BS$90))</f>
        <v>0.0</v>
      </c>
      <c r="BT98" s="91">
        <f>IF($A98="","",SUMIFS(of_hpd,of_poste,$A98,of_start,"&lt;="&amp;BT$90,of_end,"&gt;="&amp;BT$90))</f>
        <v>0.0</v>
      </c>
      <c r="BU98" s="91">
        <f>IF($A98="","",SUMIFS(of_hpd,of_poste,$A98,of_start,"&lt;="&amp;BU$90,of_end,"&gt;="&amp;BU$90))</f>
        <v>0.0</v>
      </c>
      <c r="BV98" s="91">
        <f>IF($A98="","",SUMIFS(of_hpd,of_poste,$A98,of_start,"&lt;="&amp;BV$90,of_end,"&gt;="&amp;BV$90))</f>
        <v>0.0</v>
      </c>
    </row>
    <row r="99">
      <c r="A99" s="90" t="str">
        <f>IF(INDEX(po_code,8)="","",INDEX(po_code,8))</f>
        <v/>
      </c>
      <c r="C99" s="91" t="str">
        <f>IF($A99="","",SUMIFS(of_hpd,of_poste,$A99,of_start,"&lt;="&amp;C$90,of_end,"&gt;="&amp;C$90))</f>
        <v/>
      </c>
      <c r="D99" s="91" t="str">
        <f>IF($A99="","",SUMIFS(of_hpd,of_poste,$A99,of_start,"&lt;="&amp;D$90,of_end,"&gt;="&amp;D$90))</f>
        <v/>
      </c>
      <c r="E99" s="91" t="str">
        <f>IF($A99="","",SUMIFS(of_hpd,of_poste,$A99,of_start,"&lt;="&amp;E$90,of_end,"&gt;="&amp;E$90))</f>
        <v/>
      </c>
      <c r="F99" s="91" t="str">
        <f>IF($A99="","",SUMIFS(of_hpd,of_poste,$A99,of_start,"&lt;="&amp;F$90,of_end,"&gt;="&amp;F$90))</f>
        <v/>
      </c>
      <c r="G99" s="91" t="str">
        <f>IF($A99="","",SUMIFS(of_hpd,of_poste,$A99,of_start,"&lt;="&amp;G$90,of_end,"&gt;="&amp;G$90))</f>
        <v/>
      </c>
      <c r="H99" s="91" t="str">
        <f>IF($A99="","",SUMIFS(of_hpd,of_poste,$A99,of_start,"&lt;="&amp;H$90,of_end,"&gt;="&amp;H$90))</f>
        <v/>
      </c>
      <c r="I99" s="91" t="str">
        <f>IF($A99="","",SUMIFS(of_hpd,of_poste,$A99,of_start,"&lt;="&amp;I$90,of_end,"&gt;="&amp;I$90))</f>
        <v/>
      </c>
      <c r="J99" s="91" t="str">
        <f>IF($A99="","",SUMIFS(of_hpd,of_poste,$A99,of_start,"&lt;="&amp;J$90,of_end,"&gt;="&amp;J$90))</f>
        <v/>
      </c>
      <c r="K99" s="91" t="str">
        <f>IF($A99="","",SUMIFS(of_hpd,of_poste,$A99,of_start,"&lt;="&amp;K$90,of_end,"&gt;="&amp;K$90))</f>
        <v/>
      </c>
      <c r="L99" s="91" t="str">
        <f>IF($A99="","",SUMIFS(of_hpd,of_poste,$A99,of_start,"&lt;="&amp;L$90,of_end,"&gt;="&amp;L$90))</f>
        <v/>
      </c>
      <c r="M99" s="91" t="str">
        <f>IF($A99="","",SUMIFS(of_hpd,of_poste,$A99,of_start,"&lt;="&amp;M$90,of_end,"&gt;="&amp;M$90))</f>
        <v/>
      </c>
      <c r="N99" s="91" t="str">
        <f>IF($A99="","",SUMIFS(of_hpd,of_poste,$A99,of_start,"&lt;="&amp;N$90,of_end,"&gt;="&amp;N$90))</f>
        <v/>
      </c>
      <c r="O99" s="91" t="str">
        <f>IF($A99="","",SUMIFS(of_hpd,of_poste,$A99,of_start,"&lt;="&amp;O$90,of_end,"&gt;="&amp;O$90))</f>
        <v/>
      </c>
      <c r="P99" s="91" t="str">
        <f>IF($A99="","",SUMIFS(of_hpd,of_poste,$A99,of_start,"&lt;="&amp;P$90,of_end,"&gt;="&amp;P$90))</f>
        <v/>
      </c>
      <c r="Q99" s="91" t="str">
        <f>IF($A99="","",SUMIFS(of_hpd,of_poste,$A99,of_start,"&lt;="&amp;Q$90,of_end,"&gt;="&amp;Q$90))</f>
        <v/>
      </c>
      <c r="R99" s="91" t="str">
        <f>IF($A99="","",SUMIFS(of_hpd,of_poste,$A99,of_start,"&lt;="&amp;R$90,of_end,"&gt;="&amp;R$90))</f>
        <v/>
      </c>
      <c r="S99" s="91" t="str">
        <f>IF($A99="","",SUMIFS(of_hpd,of_poste,$A99,of_start,"&lt;="&amp;S$90,of_end,"&gt;="&amp;S$90))</f>
        <v/>
      </c>
      <c r="T99" s="91" t="str">
        <f>IF($A99="","",SUMIFS(of_hpd,of_poste,$A99,of_start,"&lt;="&amp;T$90,of_end,"&gt;="&amp;T$90))</f>
        <v/>
      </c>
      <c r="U99" s="91" t="str">
        <f>IF($A99="","",SUMIFS(of_hpd,of_poste,$A99,of_start,"&lt;="&amp;U$90,of_end,"&gt;="&amp;U$90))</f>
        <v/>
      </c>
      <c r="V99" s="91" t="str">
        <f>IF($A99="","",SUMIFS(of_hpd,of_poste,$A99,of_start,"&lt;="&amp;V$90,of_end,"&gt;="&amp;V$90))</f>
        <v/>
      </c>
      <c r="W99" s="91" t="str">
        <f>IF($A99="","",SUMIFS(of_hpd,of_poste,$A99,of_start,"&lt;="&amp;W$90,of_end,"&gt;="&amp;W$90))</f>
        <v/>
      </c>
      <c r="X99" s="91" t="str">
        <f>IF($A99="","",SUMIFS(of_hpd,of_poste,$A99,of_start,"&lt;="&amp;X$90,of_end,"&gt;="&amp;X$90))</f>
        <v/>
      </c>
      <c r="Y99" s="91" t="str">
        <f>IF($A99="","",SUMIFS(of_hpd,of_poste,$A99,of_start,"&lt;="&amp;Y$90,of_end,"&gt;="&amp;Y$90))</f>
        <v/>
      </c>
      <c r="Z99" s="91" t="str">
        <f>IF($A99="","",SUMIFS(of_hpd,of_poste,$A99,of_start,"&lt;="&amp;Z$90,of_end,"&gt;="&amp;Z$90))</f>
        <v/>
      </c>
      <c r="AA99" s="91" t="str">
        <f>IF($A99="","",SUMIFS(of_hpd,of_poste,$A99,of_start,"&lt;="&amp;AA$90,of_end,"&gt;="&amp;AA$90))</f>
        <v/>
      </c>
      <c r="AB99" s="91" t="str">
        <f>IF($A99="","",SUMIFS(of_hpd,of_poste,$A99,of_start,"&lt;="&amp;AB$90,of_end,"&gt;="&amp;AB$90))</f>
        <v/>
      </c>
      <c r="AC99" s="91" t="str">
        <f>IF($A99="","",SUMIFS(of_hpd,of_poste,$A99,of_start,"&lt;="&amp;AC$90,of_end,"&gt;="&amp;AC$90))</f>
        <v/>
      </c>
      <c r="AD99" s="91" t="str">
        <f>IF($A99="","",SUMIFS(of_hpd,of_poste,$A99,of_start,"&lt;="&amp;AD$90,of_end,"&gt;="&amp;AD$90))</f>
        <v/>
      </c>
      <c r="AE99" s="91" t="str">
        <f>IF($A99="","",SUMIFS(of_hpd,of_poste,$A99,of_start,"&lt;="&amp;AE$90,of_end,"&gt;="&amp;AE$90))</f>
        <v/>
      </c>
      <c r="AF99" s="91" t="str">
        <f>IF($A99="","",SUMIFS(of_hpd,of_poste,$A99,of_start,"&lt;="&amp;AF$90,of_end,"&gt;="&amp;AF$90))</f>
        <v/>
      </c>
      <c r="AG99" s="91" t="str">
        <f>IF($A99="","",SUMIFS(of_hpd,of_poste,$A99,of_start,"&lt;="&amp;AG$90,of_end,"&gt;="&amp;AG$90))</f>
        <v/>
      </c>
      <c r="AH99" s="91" t="str">
        <f>IF($A99="","",SUMIFS(of_hpd,of_poste,$A99,of_start,"&lt;="&amp;AH$90,of_end,"&gt;="&amp;AH$90))</f>
        <v/>
      </c>
      <c r="AI99" s="91" t="str">
        <f>IF($A99="","",SUMIFS(of_hpd,of_poste,$A99,of_start,"&lt;="&amp;AI$90,of_end,"&gt;="&amp;AI$90))</f>
        <v/>
      </c>
      <c r="AJ99" s="91" t="str">
        <f>IF($A99="","",SUMIFS(of_hpd,of_poste,$A99,of_start,"&lt;="&amp;AJ$90,of_end,"&gt;="&amp;AJ$90))</f>
        <v/>
      </c>
      <c r="AK99" s="91" t="str">
        <f>IF($A99="","",SUMIFS(of_hpd,of_poste,$A99,of_start,"&lt;="&amp;AK$90,of_end,"&gt;="&amp;AK$90))</f>
        <v/>
      </c>
      <c r="AL99" s="91" t="str">
        <f>IF($A99="","",SUMIFS(of_hpd,of_poste,$A99,of_start,"&lt;="&amp;AL$90,of_end,"&gt;="&amp;AL$90))</f>
        <v/>
      </c>
      <c r="AM99" s="91" t="str">
        <f>IF($A99="","",SUMIFS(of_hpd,of_poste,$A99,of_start,"&lt;="&amp;AM$90,of_end,"&gt;="&amp;AM$90))</f>
        <v/>
      </c>
      <c r="AN99" s="91" t="str">
        <f>IF($A99="","",SUMIFS(of_hpd,of_poste,$A99,of_start,"&lt;="&amp;AN$90,of_end,"&gt;="&amp;AN$90))</f>
        <v/>
      </c>
      <c r="AO99" s="91" t="str">
        <f>IF($A99="","",SUMIFS(of_hpd,of_poste,$A99,of_start,"&lt;="&amp;AO$90,of_end,"&gt;="&amp;AO$90))</f>
        <v/>
      </c>
      <c r="AP99" s="91" t="str">
        <f>IF($A99="","",SUMIFS(of_hpd,of_poste,$A99,of_start,"&lt;="&amp;AP$90,of_end,"&gt;="&amp;AP$90))</f>
        <v/>
      </c>
      <c r="AQ99" s="91" t="str">
        <f>IF($A99="","",SUMIFS(of_hpd,of_poste,$A99,of_start,"&lt;="&amp;AQ$90,of_end,"&gt;="&amp;AQ$90))</f>
        <v/>
      </c>
      <c r="AR99" s="91" t="str">
        <f>IF($A99="","",SUMIFS(of_hpd,of_poste,$A99,of_start,"&lt;="&amp;AR$90,of_end,"&gt;="&amp;AR$90))</f>
        <v/>
      </c>
      <c r="AS99" s="91" t="str">
        <f>IF($A99="","",SUMIFS(of_hpd,of_poste,$A99,of_start,"&lt;="&amp;AS$90,of_end,"&gt;="&amp;AS$90))</f>
        <v/>
      </c>
      <c r="AT99" s="91" t="str">
        <f>IF($A99="","",SUMIFS(of_hpd,of_poste,$A99,of_start,"&lt;="&amp;AT$90,of_end,"&gt;="&amp;AT$90))</f>
        <v/>
      </c>
      <c r="AU99" s="91" t="str">
        <f>IF($A99="","",SUMIFS(of_hpd,of_poste,$A99,of_start,"&lt;="&amp;AU$90,of_end,"&gt;="&amp;AU$90))</f>
        <v/>
      </c>
      <c r="AV99" s="91" t="str">
        <f>IF($A99="","",SUMIFS(of_hpd,of_poste,$A99,of_start,"&lt;="&amp;AV$90,of_end,"&gt;="&amp;AV$90))</f>
        <v/>
      </c>
      <c r="AW99" s="91" t="str">
        <f>IF($A99="","",SUMIFS(of_hpd,of_poste,$A99,of_start,"&lt;="&amp;AW$90,of_end,"&gt;="&amp;AW$90))</f>
        <v/>
      </c>
      <c r="AX99" s="91" t="str">
        <f>IF($A99="","",SUMIFS(of_hpd,of_poste,$A99,of_start,"&lt;="&amp;AX$90,of_end,"&gt;="&amp;AX$90))</f>
        <v/>
      </c>
      <c r="AY99" s="91" t="str">
        <f>IF($A99="","",SUMIFS(of_hpd,of_poste,$A99,of_start,"&lt;="&amp;AY$90,of_end,"&gt;="&amp;AY$90))</f>
        <v/>
      </c>
      <c r="AZ99" s="91" t="str">
        <f>IF($A99="","",SUMIFS(of_hpd,of_poste,$A99,of_start,"&lt;="&amp;AZ$90,of_end,"&gt;="&amp;AZ$90))</f>
        <v/>
      </c>
      <c r="BA99" s="91" t="str">
        <f>IF($A99="","",SUMIFS(of_hpd,of_poste,$A99,of_start,"&lt;="&amp;BA$90,of_end,"&gt;="&amp;BA$90))</f>
        <v/>
      </c>
      <c r="BB99" s="91" t="str">
        <f>IF($A99="","",SUMIFS(of_hpd,of_poste,$A99,of_start,"&lt;="&amp;BB$90,of_end,"&gt;="&amp;BB$90))</f>
        <v/>
      </c>
      <c r="BC99" s="91" t="str">
        <f>IF($A99="","",SUMIFS(of_hpd,of_poste,$A99,of_start,"&lt;="&amp;BC$90,of_end,"&gt;="&amp;BC$90))</f>
        <v/>
      </c>
      <c r="BD99" s="91" t="str">
        <f>IF($A99="","",SUMIFS(of_hpd,of_poste,$A99,of_start,"&lt;="&amp;BD$90,of_end,"&gt;="&amp;BD$90))</f>
        <v/>
      </c>
      <c r="BE99" s="91" t="str">
        <f>IF($A99="","",SUMIFS(of_hpd,of_poste,$A99,of_start,"&lt;="&amp;BE$90,of_end,"&gt;="&amp;BE$90))</f>
        <v/>
      </c>
      <c r="BF99" s="91" t="str">
        <f>IF($A99="","",SUMIFS(of_hpd,of_poste,$A99,of_start,"&lt;="&amp;BF$90,of_end,"&gt;="&amp;BF$90))</f>
        <v/>
      </c>
      <c r="BG99" s="91" t="str">
        <f>IF($A99="","",SUMIFS(of_hpd,of_poste,$A99,of_start,"&lt;="&amp;BG$90,of_end,"&gt;="&amp;BG$90))</f>
        <v/>
      </c>
      <c r="BH99" s="91" t="str">
        <f>IF($A99="","",SUMIFS(of_hpd,of_poste,$A99,of_start,"&lt;="&amp;BH$90,of_end,"&gt;="&amp;BH$90))</f>
        <v/>
      </c>
      <c r="BI99" s="91" t="str">
        <f>IF($A99="","",SUMIFS(of_hpd,of_poste,$A99,of_start,"&lt;="&amp;BI$90,of_end,"&gt;="&amp;BI$90))</f>
        <v/>
      </c>
      <c r="BJ99" s="91" t="str">
        <f>IF($A99="","",SUMIFS(of_hpd,of_poste,$A99,of_start,"&lt;="&amp;BJ$90,of_end,"&gt;="&amp;BJ$90))</f>
        <v/>
      </c>
      <c r="BK99" s="91" t="str">
        <f>IF($A99="","",SUMIFS(of_hpd,of_poste,$A99,of_start,"&lt;="&amp;BK$90,of_end,"&gt;="&amp;BK$90))</f>
        <v/>
      </c>
      <c r="BL99" s="91" t="str">
        <f>IF($A99="","",SUMIFS(of_hpd,of_poste,$A99,of_start,"&lt;="&amp;BL$90,of_end,"&gt;="&amp;BL$90))</f>
        <v/>
      </c>
      <c r="BM99" s="91" t="str">
        <f>IF($A99="","",SUMIFS(of_hpd,of_poste,$A99,of_start,"&lt;="&amp;BM$90,of_end,"&gt;="&amp;BM$90))</f>
        <v/>
      </c>
      <c r="BN99" s="91" t="str">
        <f>IF($A99="","",SUMIFS(of_hpd,of_poste,$A99,of_start,"&lt;="&amp;BN$90,of_end,"&gt;="&amp;BN$90))</f>
        <v/>
      </c>
      <c r="BO99" s="91" t="str">
        <f>IF($A99="","",SUMIFS(of_hpd,of_poste,$A99,of_start,"&lt;="&amp;BO$90,of_end,"&gt;="&amp;BO$90))</f>
        <v/>
      </c>
      <c r="BP99" s="91" t="str">
        <f>IF($A99="","",SUMIFS(of_hpd,of_poste,$A99,of_start,"&lt;="&amp;BP$90,of_end,"&gt;="&amp;BP$90))</f>
        <v/>
      </c>
      <c r="BQ99" s="91" t="str">
        <f>IF($A99="","",SUMIFS(of_hpd,of_poste,$A99,of_start,"&lt;="&amp;BQ$90,of_end,"&gt;="&amp;BQ$90))</f>
        <v/>
      </c>
      <c r="BR99" s="91" t="str">
        <f>IF($A99="","",SUMIFS(of_hpd,of_poste,$A99,of_start,"&lt;="&amp;BR$90,of_end,"&gt;="&amp;BR$90))</f>
        <v/>
      </c>
      <c r="BS99" s="91" t="str">
        <f>IF($A99="","",SUMIFS(of_hpd,of_poste,$A99,of_start,"&lt;="&amp;BS$90,of_end,"&gt;="&amp;BS$90))</f>
        <v/>
      </c>
      <c r="BT99" s="91" t="str">
        <f>IF($A99="","",SUMIFS(of_hpd,of_poste,$A99,of_start,"&lt;="&amp;BT$90,of_end,"&gt;="&amp;BT$90))</f>
        <v/>
      </c>
      <c r="BU99" s="91" t="str">
        <f>IF($A99="","",SUMIFS(of_hpd,of_poste,$A99,of_start,"&lt;="&amp;BU$90,of_end,"&gt;="&amp;BU$90))</f>
        <v/>
      </c>
      <c r="BV99" s="91" t="str">
        <f>IF($A99="","",SUMIFS(of_hpd,of_poste,$A99,of_start,"&lt;="&amp;BV$90,of_end,"&gt;="&amp;BV$90))</f>
        <v/>
      </c>
    </row>
    <row r="100">
      <c r="A100" s="90" t="str">
        <f>IF(INDEX(po_code,9)="","",INDEX(po_code,9))</f>
        <v/>
      </c>
      <c r="C100" s="91" t="str">
        <f>IF($A100="","",SUMIFS(of_hpd,of_poste,$A100,of_start,"&lt;="&amp;C$90,of_end,"&gt;="&amp;C$90))</f>
        <v/>
      </c>
      <c r="D100" s="91" t="str">
        <f>IF($A100="","",SUMIFS(of_hpd,of_poste,$A100,of_start,"&lt;="&amp;D$90,of_end,"&gt;="&amp;D$90))</f>
        <v/>
      </c>
      <c r="E100" s="91" t="str">
        <f>IF($A100="","",SUMIFS(of_hpd,of_poste,$A100,of_start,"&lt;="&amp;E$90,of_end,"&gt;="&amp;E$90))</f>
        <v/>
      </c>
      <c r="F100" s="91" t="str">
        <f>IF($A100="","",SUMIFS(of_hpd,of_poste,$A100,of_start,"&lt;="&amp;F$90,of_end,"&gt;="&amp;F$90))</f>
        <v/>
      </c>
      <c r="G100" s="91" t="str">
        <f>IF($A100="","",SUMIFS(of_hpd,of_poste,$A100,of_start,"&lt;="&amp;G$90,of_end,"&gt;="&amp;G$90))</f>
        <v/>
      </c>
      <c r="H100" s="91" t="str">
        <f>IF($A100="","",SUMIFS(of_hpd,of_poste,$A100,of_start,"&lt;="&amp;H$90,of_end,"&gt;="&amp;H$90))</f>
        <v/>
      </c>
      <c r="I100" s="91" t="str">
        <f>IF($A100="","",SUMIFS(of_hpd,of_poste,$A100,of_start,"&lt;="&amp;I$90,of_end,"&gt;="&amp;I$90))</f>
        <v/>
      </c>
      <c r="J100" s="91" t="str">
        <f>IF($A100="","",SUMIFS(of_hpd,of_poste,$A100,of_start,"&lt;="&amp;J$90,of_end,"&gt;="&amp;J$90))</f>
        <v/>
      </c>
      <c r="K100" s="91" t="str">
        <f>IF($A100="","",SUMIFS(of_hpd,of_poste,$A100,of_start,"&lt;="&amp;K$90,of_end,"&gt;="&amp;K$90))</f>
        <v/>
      </c>
      <c r="L100" s="91" t="str">
        <f>IF($A100="","",SUMIFS(of_hpd,of_poste,$A100,of_start,"&lt;="&amp;L$90,of_end,"&gt;="&amp;L$90))</f>
        <v/>
      </c>
      <c r="M100" s="91" t="str">
        <f>IF($A100="","",SUMIFS(of_hpd,of_poste,$A100,of_start,"&lt;="&amp;M$90,of_end,"&gt;="&amp;M$90))</f>
        <v/>
      </c>
      <c r="N100" s="91" t="str">
        <f>IF($A100="","",SUMIFS(of_hpd,of_poste,$A100,of_start,"&lt;="&amp;N$90,of_end,"&gt;="&amp;N$90))</f>
        <v/>
      </c>
      <c r="O100" s="91" t="str">
        <f>IF($A100="","",SUMIFS(of_hpd,of_poste,$A100,of_start,"&lt;="&amp;O$90,of_end,"&gt;="&amp;O$90))</f>
        <v/>
      </c>
      <c r="P100" s="91" t="str">
        <f>IF($A100="","",SUMIFS(of_hpd,of_poste,$A100,of_start,"&lt;="&amp;P$90,of_end,"&gt;="&amp;P$90))</f>
        <v/>
      </c>
      <c r="Q100" s="91" t="str">
        <f>IF($A100="","",SUMIFS(of_hpd,of_poste,$A100,of_start,"&lt;="&amp;Q$90,of_end,"&gt;="&amp;Q$90))</f>
        <v/>
      </c>
      <c r="R100" s="91" t="str">
        <f>IF($A100="","",SUMIFS(of_hpd,of_poste,$A100,of_start,"&lt;="&amp;R$90,of_end,"&gt;="&amp;R$90))</f>
        <v/>
      </c>
      <c r="S100" s="91" t="str">
        <f>IF($A100="","",SUMIFS(of_hpd,of_poste,$A100,of_start,"&lt;="&amp;S$90,of_end,"&gt;="&amp;S$90))</f>
        <v/>
      </c>
      <c r="T100" s="91" t="str">
        <f>IF($A100="","",SUMIFS(of_hpd,of_poste,$A100,of_start,"&lt;="&amp;T$90,of_end,"&gt;="&amp;T$90))</f>
        <v/>
      </c>
      <c r="U100" s="91" t="str">
        <f>IF($A100="","",SUMIFS(of_hpd,of_poste,$A100,of_start,"&lt;="&amp;U$90,of_end,"&gt;="&amp;U$90))</f>
        <v/>
      </c>
      <c r="V100" s="91" t="str">
        <f>IF($A100="","",SUMIFS(of_hpd,of_poste,$A100,of_start,"&lt;="&amp;V$90,of_end,"&gt;="&amp;V$90))</f>
        <v/>
      </c>
      <c r="W100" s="91" t="str">
        <f>IF($A100="","",SUMIFS(of_hpd,of_poste,$A100,of_start,"&lt;="&amp;W$90,of_end,"&gt;="&amp;W$90))</f>
        <v/>
      </c>
      <c r="X100" s="91" t="str">
        <f>IF($A100="","",SUMIFS(of_hpd,of_poste,$A100,of_start,"&lt;="&amp;X$90,of_end,"&gt;="&amp;X$90))</f>
        <v/>
      </c>
      <c r="Y100" s="91" t="str">
        <f>IF($A100="","",SUMIFS(of_hpd,of_poste,$A100,of_start,"&lt;="&amp;Y$90,of_end,"&gt;="&amp;Y$90))</f>
        <v/>
      </c>
      <c r="Z100" s="91" t="str">
        <f>IF($A100="","",SUMIFS(of_hpd,of_poste,$A100,of_start,"&lt;="&amp;Z$90,of_end,"&gt;="&amp;Z$90))</f>
        <v/>
      </c>
      <c r="AA100" s="91" t="str">
        <f>IF($A100="","",SUMIFS(of_hpd,of_poste,$A100,of_start,"&lt;="&amp;AA$90,of_end,"&gt;="&amp;AA$90))</f>
        <v/>
      </c>
      <c r="AB100" s="91" t="str">
        <f>IF($A100="","",SUMIFS(of_hpd,of_poste,$A100,of_start,"&lt;="&amp;AB$90,of_end,"&gt;="&amp;AB$90))</f>
        <v/>
      </c>
      <c r="AC100" s="91" t="str">
        <f>IF($A100="","",SUMIFS(of_hpd,of_poste,$A100,of_start,"&lt;="&amp;AC$90,of_end,"&gt;="&amp;AC$90))</f>
        <v/>
      </c>
      <c r="AD100" s="91" t="str">
        <f>IF($A100="","",SUMIFS(of_hpd,of_poste,$A100,of_start,"&lt;="&amp;AD$90,of_end,"&gt;="&amp;AD$90))</f>
        <v/>
      </c>
      <c r="AE100" s="91" t="str">
        <f>IF($A100="","",SUMIFS(of_hpd,of_poste,$A100,of_start,"&lt;="&amp;AE$90,of_end,"&gt;="&amp;AE$90))</f>
        <v/>
      </c>
      <c r="AF100" s="91" t="str">
        <f>IF($A100="","",SUMIFS(of_hpd,of_poste,$A100,of_start,"&lt;="&amp;AF$90,of_end,"&gt;="&amp;AF$90))</f>
        <v/>
      </c>
      <c r="AG100" s="91" t="str">
        <f>IF($A100="","",SUMIFS(of_hpd,of_poste,$A100,of_start,"&lt;="&amp;AG$90,of_end,"&gt;="&amp;AG$90))</f>
        <v/>
      </c>
      <c r="AH100" s="91" t="str">
        <f>IF($A100="","",SUMIFS(of_hpd,of_poste,$A100,of_start,"&lt;="&amp;AH$90,of_end,"&gt;="&amp;AH$90))</f>
        <v/>
      </c>
      <c r="AI100" s="91" t="str">
        <f>IF($A100="","",SUMIFS(of_hpd,of_poste,$A100,of_start,"&lt;="&amp;AI$90,of_end,"&gt;="&amp;AI$90))</f>
        <v/>
      </c>
      <c r="AJ100" s="91" t="str">
        <f>IF($A100="","",SUMIFS(of_hpd,of_poste,$A100,of_start,"&lt;="&amp;AJ$90,of_end,"&gt;="&amp;AJ$90))</f>
        <v/>
      </c>
      <c r="AK100" s="91" t="str">
        <f>IF($A100="","",SUMIFS(of_hpd,of_poste,$A100,of_start,"&lt;="&amp;AK$90,of_end,"&gt;="&amp;AK$90))</f>
        <v/>
      </c>
      <c r="AL100" s="91" t="str">
        <f>IF($A100="","",SUMIFS(of_hpd,of_poste,$A100,of_start,"&lt;="&amp;AL$90,of_end,"&gt;="&amp;AL$90))</f>
        <v/>
      </c>
      <c r="AM100" s="91" t="str">
        <f>IF($A100="","",SUMIFS(of_hpd,of_poste,$A100,of_start,"&lt;="&amp;AM$90,of_end,"&gt;="&amp;AM$90))</f>
        <v/>
      </c>
      <c r="AN100" s="91" t="str">
        <f>IF($A100="","",SUMIFS(of_hpd,of_poste,$A100,of_start,"&lt;="&amp;AN$90,of_end,"&gt;="&amp;AN$90))</f>
        <v/>
      </c>
      <c r="AO100" s="91" t="str">
        <f>IF($A100="","",SUMIFS(of_hpd,of_poste,$A100,of_start,"&lt;="&amp;AO$90,of_end,"&gt;="&amp;AO$90))</f>
        <v/>
      </c>
      <c r="AP100" s="91" t="str">
        <f>IF($A100="","",SUMIFS(of_hpd,of_poste,$A100,of_start,"&lt;="&amp;AP$90,of_end,"&gt;="&amp;AP$90))</f>
        <v/>
      </c>
      <c r="AQ100" s="91" t="str">
        <f>IF($A100="","",SUMIFS(of_hpd,of_poste,$A100,of_start,"&lt;="&amp;AQ$90,of_end,"&gt;="&amp;AQ$90))</f>
        <v/>
      </c>
      <c r="AR100" s="91" t="str">
        <f>IF($A100="","",SUMIFS(of_hpd,of_poste,$A100,of_start,"&lt;="&amp;AR$90,of_end,"&gt;="&amp;AR$90))</f>
        <v/>
      </c>
      <c r="AS100" s="91" t="str">
        <f>IF($A100="","",SUMIFS(of_hpd,of_poste,$A100,of_start,"&lt;="&amp;AS$90,of_end,"&gt;="&amp;AS$90))</f>
        <v/>
      </c>
      <c r="AT100" s="91" t="str">
        <f>IF($A100="","",SUMIFS(of_hpd,of_poste,$A100,of_start,"&lt;="&amp;AT$90,of_end,"&gt;="&amp;AT$90))</f>
        <v/>
      </c>
      <c r="AU100" s="91" t="str">
        <f>IF($A100="","",SUMIFS(of_hpd,of_poste,$A100,of_start,"&lt;="&amp;AU$90,of_end,"&gt;="&amp;AU$90))</f>
        <v/>
      </c>
      <c r="AV100" s="91" t="str">
        <f>IF($A100="","",SUMIFS(of_hpd,of_poste,$A100,of_start,"&lt;="&amp;AV$90,of_end,"&gt;="&amp;AV$90))</f>
        <v/>
      </c>
      <c r="AW100" s="91" t="str">
        <f>IF($A100="","",SUMIFS(of_hpd,of_poste,$A100,of_start,"&lt;="&amp;AW$90,of_end,"&gt;="&amp;AW$90))</f>
        <v/>
      </c>
      <c r="AX100" s="91" t="str">
        <f>IF($A100="","",SUMIFS(of_hpd,of_poste,$A100,of_start,"&lt;="&amp;AX$90,of_end,"&gt;="&amp;AX$90))</f>
        <v/>
      </c>
      <c r="AY100" s="91" t="str">
        <f>IF($A100="","",SUMIFS(of_hpd,of_poste,$A100,of_start,"&lt;="&amp;AY$90,of_end,"&gt;="&amp;AY$90))</f>
        <v/>
      </c>
      <c r="AZ100" s="91" t="str">
        <f>IF($A100="","",SUMIFS(of_hpd,of_poste,$A100,of_start,"&lt;="&amp;AZ$90,of_end,"&gt;="&amp;AZ$90))</f>
        <v/>
      </c>
      <c r="BA100" s="91" t="str">
        <f>IF($A100="","",SUMIFS(of_hpd,of_poste,$A100,of_start,"&lt;="&amp;BA$90,of_end,"&gt;="&amp;BA$90))</f>
        <v/>
      </c>
      <c r="BB100" s="91" t="str">
        <f>IF($A100="","",SUMIFS(of_hpd,of_poste,$A100,of_start,"&lt;="&amp;BB$90,of_end,"&gt;="&amp;BB$90))</f>
        <v/>
      </c>
      <c r="BC100" s="91" t="str">
        <f>IF($A100="","",SUMIFS(of_hpd,of_poste,$A100,of_start,"&lt;="&amp;BC$90,of_end,"&gt;="&amp;BC$90))</f>
        <v/>
      </c>
      <c r="BD100" s="91" t="str">
        <f>IF($A100="","",SUMIFS(of_hpd,of_poste,$A100,of_start,"&lt;="&amp;BD$90,of_end,"&gt;="&amp;BD$90))</f>
        <v/>
      </c>
      <c r="BE100" s="91" t="str">
        <f>IF($A100="","",SUMIFS(of_hpd,of_poste,$A100,of_start,"&lt;="&amp;BE$90,of_end,"&gt;="&amp;BE$90))</f>
        <v/>
      </c>
      <c r="BF100" s="91" t="str">
        <f>IF($A100="","",SUMIFS(of_hpd,of_poste,$A100,of_start,"&lt;="&amp;BF$90,of_end,"&gt;="&amp;BF$90))</f>
        <v/>
      </c>
      <c r="BG100" s="91" t="str">
        <f>IF($A100="","",SUMIFS(of_hpd,of_poste,$A100,of_start,"&lt;="&amp;BG$90,of_end,"&gt;="&amp;BG$90))</f>
        <v/>
      </c>
      <c r="BH100" s="91" t="str">
        <f>IF($A100="","",SUMIFS(of_hpd,of_poste,$A100,of_start,"&lt;="&amp;BH$90,of_end,"&gt;="&amp;BH$90))</f>
        <v/>
      </c>
      <c r="BI100" s="91" t="str">
        <f>IF($A100="","",SUMIFS(of_hpd,of_poste,$A100,of_start,"&lt;="&amp;BI$90,of_end,"&gt;="&amp;BI$90))</f>
        <v/>
      </c>
      <c r="BJ100" s="91" t="str">
        <f>IF($A100="","",SUMIFS(of_hpd,of_poste,$A100,of_start,"&lt;="&amp;BJ$90,of_end,"&gt;="&amp;BJ$90))</f>
        <v/>
      </c>
      <c r="BK100" s="91" t="str">
        <f>IF($A100="","",SUMIFS(of_hpd,of_poste,$A100,of_start,"&lt;="&amp;BK$90,of_end,"&gt;="&amp;BK$90))</f>
        <v/>
      </c>
      <c r="BL100" s="91" t="str">
        <f>IF($A100="","",SUMIFS(of_hpd,of_poste,$A100,of_start,"&lt;="&amp;BL$90,of_end,"&gt;="&amp;BL$90))</f>
        <v/>
      </c>
      <c r="BM100" s="91" t="str">
        <f>IF($A100="","",SUMIFS(of_hpd,of_poste,$A100,of_start,"&lt;="&amp;BM$90,of_end,"&gt;="&amp;BM$90))</f>
        <v/>
      </c>
      <c r="BN100" s="91" t="str">
        <f>IF($A100="","",SUMIFS(of_hpd,of_poste,$A100,of_start,"&lt;="&amp;BN$90,of_end,"&gt;="&amp;BN$90))</f>
        <v/>
      </c>
      <c r="BO100" s="91" t="str">
        <f>IF($A100="","",SUMIFS(of_hpd,of_poste,$A100,of_start,"&lt;="&amp;BO$90,of_end,"&gt;="&amp;BO$90))</f>
        <v/>
      </c>
      <c r="BP100" s="91" t="str">
        <f>IF($A100="","",SUMIFS(of_hpd,of_poste,$A100,of_start,"&lt;="&amp;BP$90,of_end,"&gt;="&amp;BP$90))</f>
        <v/>
      </c>
      <c r="BQ100" s="91" t="str">
        <f>IF($A100="","",SUMIFS(of_hpd,of_poste,$A100,of_start,"&lt;="&amp;BQ$90,of_end,"&gt;="&amp;BQ$90))</f>
        <v/>
      </c>
      <c r="BR100" s="91" t="str">
        <f>IF($A100="","",SUMIFS(of_hpd,of_poste,$A100,of_start,"&lt;="&amp;BR$90,of_end,"&gt;="&amp;BR$90))</f>
        <v/>
      </c>
      <c r="BS100" s="91" t="str">
        <f>IF($A100="","",SUMIFS(of_hpd,of_poste,$A100,of_start,"&lt;="&amp;BS$90,of_end,"&gt;="&amp;BS$90))</f>
        <v/>
      </c>
      <c r="BT100" s="91" t="str">
        <f>IF($A100="","",SUMIFS(of_hpd,of_poste,$A100,of_start,"&lt;="&amp;BT$90,of_end,"&gt;="&amp;BT$90))</f>
        <v/>
      </c>
      <c r="BU100" s="91" t="str">
        <f>IF($A100="","",SUMIFS(of_hpd,of_poste,$A100,of_start,"&lt;="&amp;BU$90,of_end,"&gt;="&amp;BU$90))</f>
        <v/>
      </c>
      <c r="BV100" s="91" t="str">
        <f>IF($A100="","",SUMIFS(of_hpd,of_poste,$A100,of_start,"&lt;="&amp;BV$90,of_end,"&gt;="&amp;BV$90))</f>
        <v/>
      </c>
    </row>
    <row r="101">
      <c r="A101" s="90" t="str">
        <f>IF(INDEX(po_code,10)="","",INDEX(po_code,10))</f>
        <v/>
      </c>
      <c r="C101" s="91" t="str">
        <f>IF($A101="","",SUMIFS(of_hpd,of_poste,$A101,of_start,"&lt;="&amp;C$90,of_end,"&gt;="&amp;C$90))</f>
        <v/>
      </c>
      <c r="D101" s="91" t="str">
        <f>IF($A101="","",SUMIFS(of_hpd,of_poste,$A101,of_start,"&lt;="&amp;D$90,of_end,"&gt;="&amp;D$90))</f>
        <v/>
      </c>
      <c r="E101" s="91" t="str">
        <f>IF($A101="","",SUMIFS(of_hpd,of_poste,$A101,of_start,"&lt;="&amp;E$90,of_end,"&gt;="&amp;E$90))</f>
        <v/>
      </c>
      <c r="F101" s="91" t="str">
        <f>IF($A101="","",SUMIFS(of_hpd,of_poste,$A101,of_start,"&lt;="&amp;F$90,of_end,"&gt;="&amp;F$90))</f>
        <v/>
      </c>
      <c r="G101" s="91" t="str">
        <f>IF($A101="","",SUMIFS(of_hpd,of_poste,$A101,of_start,"&lt;="&amp;G$90,of_end,"&gt;="&amp;G$90))</f>
        <v/>
      </c>
      <c r="H101" s="91" t="str">
        <f>IF($A101="","",SUMIFS(of_hpd,of_poste,$A101,of_start,"&lt;="&amp;H$90,of_end,"&gt;="&amp;H$90))</f>
        <v/>
      </c>
      <c r="I101" s="91" t="str">
        <f>IF($A101="","",SUMIFS(of_hpd,of_poste,$A101,of_start,"&lt;="&amp;I$90,of_end,"&gt;="&amp;I$90))</f>
        <v/>
      </c>
      <c r="J101" s="91" t="str">
        <f>IF($A101="","",SUMIFS(of_hpd,of_poste,$A101,of_start,"&lt;="&amp;J$90,of_end,"&gt;="&amp;J$90))</f>
        <v/>
      </c>
      <c r="K101" s="91" t="str">
        <f>IF($A101="","",SUMIFS(of_hpd,of_poste,$A101,of_start,"&lt;="&amp;K$90,of_end,"&gt;="&amp;K$90))</f>
        <v/>
      </c>
      <c r="L101" s="91" t="str">
        <f>IF($A101="","",SUMIFS(of_hpd,of_poste,$A101,of_start,"&lt;="&amp;L$90,of_end,"&gt;="&amp;L$90))</f>
        <v/>
      </c>
      <c r="M101" s="91" t="str">
        <f>IF($A101="","",SUMIFS(of_hpd,of_poste,$A101,of_start,"&lt;="&amp;M$90,of_end,"&gt;="&amp;M$90))</f>
        <v/>
      </c>
      <c r="N101" s="91" t="str">
        <f>IF($A101="","",SUMIFS(of_hpd,of_poste,$A101,of_start,"&lt;="&amp;N$90,of_end,"&gt;="&amp;N$90))</f>
        <v/>
      </c>
      <c r="O101" s="91" t="str">
        <f>IF($A101="","",SUMIFS(of_hpd,of_poste,$A101,of_start,"&lt;="&amp;O$90,of_end,"&gt;="&amp;O$90))</f>
        <v/>
      </c>
      <c r="P101" s="91" t="str">
        <f>IF($A101="","",SUMIFS(of_hpd,of_poste,$A101,of_start,"&lt;="&amp;P$90,of_end,"&gt;="&amp;P$90))</f>
        <v/>
      </c>
      <c r="Q101" s="91" t="str">
        <f>IF($A101="","",SUMIFS(of_hpd,of_poste,$A101,of_start,"&lt;="&amp;Q$90,of_end,"&gt;="&amp;Q$90))</f>
        <v/>
      </c>
      <c r="R101" s="91" t="str">
        <f>IF($A101="","",SUMIFS(of_hpd,of_poste,$A101,of_start,"&lt;="&amp;R$90,of_end,"&gt;="&amp;R$90))</f>
        <v/>
      </c>
      <c r="S101" s="91" t="str">
        <f>IF($A101="","",SUMIFS(of_hpd,of_poste,$A101,of_start,"&lt;="&amp;S$90,of_end,"&gt;="&amp;S$90))</f>
        <v/>
      </c>
      <c r="T101" s="91" t="str">
        <f>IF($A101="","",SUMIFS(of_hpd,of_poste,$A101,of_start,"&lt;="&amp;T$90,of_end,"&gt;="&amp;T$90))</f>
        <v/>
      </c>
      <c r="U101" s="91" t="str">
        <f>IF($A101="","",SUMIFS(of_hpd,of_poste,$A101,of_start,"&lt;="&amp;U$90,of_end,"&gt;="&amp;U$90))</f>
        <v/>
      </c>
      <c r="V101" s="91" t="str">
        <f>IF($A101="","",SUMIFS(of_hpd,of_poste,$A101,of_start,"&lt;="&amp;V$90,of_end,"&gt;="&amp;V$90))</f>
        <v/>
      </c>
      <c r="W101" s="91" t="str">
        <f>IF($A101="","",SUMIFS(of_hpd,of_poste,$A101,of_start,"&lt;="&amp;W$90,of_end,"&gt;="&amp;W$90))</f>
        <v/>
      </c>
      <c r="X101" s="91" t="str">
        <f>IF($A101="","",SUMIFS(of_hpd,of_poste,$A101,of_start,"&lt;="&amp;X$90,of_end,"&gt;="&amp;X$90))</f>
        <v/>
      </c>
      <c r="Y101" s="91" t="str">
        <f>IF($A101="","",SUMIFS(of_hpd,of_poste,$A101,of_start,"&lt;="&amp;Y$90,of_end,"&gt;="&amp;Y$90))</f>
        <v/>
      </c>
      <c r="Z101" s="91" t="str">
        <f>IF($A101="","",SUMIFS(of_hpd,of_poste,$A101,of_start,"&lt;="&amp;Z$90,of_end,"&gt;="&amp;Z$90))</f>
        <v/>
      </c>
      <c r="AA101" s="91" t="str">
        <f>IF($A101="","",SUMIFS(of_hpd,of_poste,$A101,of_start,"&lt;="&amp;AA$90,of_end,"&gt;="&amp;AA$90))</f>
        <v/>
      </c>
      <c r="AB101" s="91" t="str">
        <f>IF($A101="","",SUMIFS(of_hpd,of_poste,$A101,of_start,"&lt;="&amp;AB$90,of_end,"&gt;="&amp;AB$90))</f>
        <v/>
      </c>
      <c r="AC101" s="91" t="str">
        <f>IF($A101="","",SUMIFS(of_hpd,of_poste,$A101,of_start,"&lt;="&amp;AC$90,of_end,"&gt;="&amp;AC$90))</f>
        <v/>
      </c>
      <c r="AD101" s="91" t="str">
        <f>IF($A101="","",SUMIFS(of_hpd,of_poste,$A101,of_start,"&lt;="&amp;AD$90,of_end,"&gt;="&amp;AD$90))</f>
        <v/>
      </c>
      <c r="AE101" s="91" t="str">
        <f>IF($A101="","",SUMIFS(of_hpd,of_poste,$A101,of_start,"&lt;="&amp;AE$90,of_end,"&gt;="&amp;AE$90))</f>
        <v/>
      </c>
      <c r="AF101" s="91" t="str">
        <f>IF($A101="","",SUMIFS(of_hpd,of_poste,$A101,of_start,"&lt;="&amp;AF$90,of_end,"&gt;="&amp;AF$90))</f>
        <v/>
      </c>
      <c r="AG101" s="91" t="str">
        <f>IF($A101="","",SUMIFS(of_hpd,of_poste,$A101,of_start,"&lt;="&amp;AG$90,of_end,"&gt;="&amp;AG$90))</f>
        <v/>
      </c>
      <c r="AH101" s="91" t="str">
        <f>IF($A101="","",SUMIFS(of_hpd,of_poste,$A101,of_start,"&lt;="&amp;AH$90,of_end,"&gt;="&amp;AH$90))</f>
        <v/>
      </c>
      <c r="AI101" s="91" t="str">
        <f>IF($A101="","",SUMIFS(of_hpd,of_poste,$A101,of_start,"&lt;="&amp;AI$90,of_end,"&gt;="&amp;AI$90))</f>
        <v/>
      </c>
      <c r="AJ101" s="91" t="str">
        <f>IF($A101="","",SUMIFS(of_hpd,of_poste,$A101,of_start,"&lt;="&amp;AJ$90,of_end,"&gt;="&amp;AJ$90))</f>
        <v/>
      </c>
      <c r="AK101" s="91" t="str">
        <f>IF($A101="","",SUMIFS(of_hpd,of_poste,$A101,of_start,"&lt;="&amp;AK$90,of_end,"&gt;="&amp;AK$90))</f>
        <v/>
      </c>
      <c r="AL101" s="91" t="str">
        <f>IF($A101="","",SUMIFS(of_hpd,of_poste,$A101,of_start,"&lt;="&amp;AL$90,of_end,"&gt;="&amp;AL$90))</f>
        <v/>
      </c>
      <c r="AM101" s="91" t="str">
        <f>IF($A101="","",SUMIFS(of_hpd,of_poste,$A101,of_start,"&lt;="&amp;AM$90,of_end,"&gt;="&amp;AM$90))</f>
        <v/>
      </c>
      <c r="AN101" s="91" t="str">
        <f>IF($A101="","",SUMIFS(of_hpd,of_poste,$A101,of_start,"&lt;="&amp;AN$90,of_end,"&gt;="&amp;AN$90))</f>
        <v/>
      </c>
      <c r="AO101" s="91" t="str">
        <f>IF($A101="","",SUMIFS(of_hpd,of_poste,$A101,of_start,"&lt;="&amp;AO$90,of_end,"&gt;="&amp;AO$90))</f>
        <v/>
      </c>
      <c r="AP101" s="91" t="str">
        <f>IF($A101="","",SUMIFS(of_hpd,of_poste,$A101,of_start,"&lt;="&amp;AP$90,of_end,"&gt;="&amp;AP$90))</f>
        <v/>
      </c>
      <c r="AQ101" s="91" t="str">
        <f>IF($A101="","",SUMIFS(of_hpd,of_poste,$A101,of_start,"&lt;="&amp;AQ$90,of_end,"&gt;="&amp;AQ$90))</f>
        <v/>
      </c>
      <c r="AR101" s="91" t="str">
        <f>IF($A101="","",SUMIFS(of_hpd,of_poste,$A101,of_start,"&lt;="&amp;AR$90,of_end,"&gt;="&amp;AR$90))</f>
        <v/>
      </c>
      <c r="AS101" s="91" t="str">
        <f>IF($A101="","",SUMIFS(of_hpd,of_poste,$A101,of_start,"&lt;="&amp;AS$90,of_end,"&gt;="&amp;AS$90))</f>
        <v/>
      </c>
      <c r="AT101" s="91" t="str">
        <f>IF($A101="","",SUMIFS(of_hpd,of_poste,$A101,of_start,"&lt;="&amp;AT$90,of_end,"&gt;="&amp;AT$90))</f>
        <v/>
      </c>
      <c r="AU101" s="91" t="str">
        <f>IF($A101="","",SUMIFS(of_hpd,of_poste,$A101,of_start,"&lt;="&amp;AU$90,of_end,"&gt;="&amp;AU$90))</f>
        <v/>
      </c>
      <c r="AV101" s="91" t="str">
        <f>IF($A101="","",SUMIFS(of_hpd,of_poste,$A101,of_start,"&lt;="&amp;AV$90,of_end,"&gt;="&amp;AV$90))</f>
        <v/>
      </c>
      <c r="AW101" s="91" t="str">
        <f>IF($A101="","",SUMIFS(of_hpd,of_poste,$A101,of_start,"&lt;="&amp;AW$90,of_end,"&gt;="&amp;AW$90))</f>
        <v/>
      </c>
      <c r="AX101" s="91" t="str">
        <f>IF($A101="","",SUMIFS(of_hpd,of_poste,$A101,of_start,"&lt;="&amp;AX$90,of_end,"&gt;="&amp;AX$90))</f>
        <v/>
      </c>
      <c r="AY101" s="91" t="str">
        <f>IF($A101="","",SUMIFS(of_hpd,of_poste,$A101,of_start,"&lt;="&amp;AY$90,of_end,"&gt;="&amp;AY$90))</f>
        <v/>
      </c>
      <c r="AZ101" s="91" t="str">
        <f>IF($A101="","",SUMIFS(of_hpd,of_poste,$A101,of_start,"&lt;="&amp;AZ$90,of_end,"&gt;="&amp;AZ$90))</f>
        <v/>
      </c>
      <c r="BA101" s="91" t="str">
        <f>IF($A101="","",SUMIFS(of_hpd,of_poste,$A101,of_start,"&lt;="&amp;BA$90,of_end,"&gt;="&amp;BA$90))</f>
        <v/>
      </c>
      <c r="BB101" s="91" t="str">
        <f>IF($A101="","",SUMIFS(of_hpd,of_poste,$A101,of_start,"&lt;="&amp;BB$90,of_end,"&gt;="&amp;BB$90))</f>
        <v/>
      </c>
      <c r="BC101" s="91" t="str">
        <f>IF($A101="","",SUMIFS(of_hpd,of_poste,$A101,of_start,"&lt;="&amp;BC$90,of_end,"&gt;="&amp;BC$90))</f>
        <v/>
      </c>
      <c r="BD101" s="91" t="str">
        <f>IF($A101="","",SUMIFS(of_hpd,of_poste,$A101,of_start,"&lt;="&amp;BD$90,of_end,"&gt;="&amp;BD$90))</f>
        <v/>
      </c>
      <c r="BE101" s="91" t="str">
        <f>IF($A101="","",SUMIFS(of_hpd,of_poste,$A101,of_start,"&lt;="&amp;BE$90,of_end,"&gt;="&amp;BE$90))</f>
        <v/>
      </c>
      <c r="BF101" s="91" t="str">
        <f>IF($A101="","",SUMIFS(of_hpd,of_poste,$A101,of_start,"&lt;="&amp;BF$90,of_end,"&gt;="&amp;BF$90))</f>
        <v/>
      </c>
      <c r="BG101" s="91" t="str">
        <f>IF($A101="","",SUMIFS(of_hpd,of_poste,$A101,of_start,"&lt;="&amp;BG$90,of_end,"&gt;="&amp;BG$90))</f>
        <v/>
      </c>
      <c r="BH101" s="91" t="str">
        <f>IF($A101="","",SUMIFS(of_hpd,of_poste,$A101,of_start,"&lt;="&amp;BH$90,of_end,"&gt;="&amp;BH$90))</f>
        <v/>
      </c>
      <c r="BI101" s="91" t="str">
        <f>IF($A101="","",SUMIFS(of_hpd,of_poste,$A101,of_start,"&lt;="&amp;BI$90,of_end,"&gt;="&amp;BI$90))</f>
        <v/>
      </c>
      <c r="BJ101" s="91" t="str">
        <f>IF($A101="","",SUMIFS(of_hpd,of_poste,$A101,of_start,"&lt;="&amp;BJ$90,of_end,"&gt;="&amp;BJ$90))</f>
        <v/>
      </c>
      <c r="BK101" s="91" t="str">
        <f>IF($A101="","",SUMIFS(of_hpd,of_poste,$A101,of_start,"&lt;="&amp;BK$90,of_end,"&gt;="&amp;BK$90))</f>
        <v/>
      </c>
      <c r="BL101" s="91" t="str">
        <f>IF($A101="","",SUMIFS(of_hpd,of_poste,$A101,of_start,"&lt;="&amp;BL$90,of_end,"&gt;="&amp;BL$90))</f>
        <v/>
      </c>
      <c r="BM101" s="91" t="str">
        <f>IF($A101="","",SUMIFS(of_hpd,of_poste,$A101,of_start,"&lt;="&amp;BM$90,of_end,"&gt;="&amp;BM$90))</f>
        <v/>
      </c>
      <c r="BN101" s="91" t="str">
        <f>IF($A101="","",SUMIFS(of_hpd,of_poste,$A101,of_start,"&lt;="&amp;BN$90,of_end,"&gt;="&amp;BN$90))</f>
        <v/>
      </c>
      <c r="BO101" s="91" t="str">
        <f>IF($A101="","",SUMIFS(of_hpd,of_poste,$A101,of_start,"&lt;="&amp;BO$90,of_end,"&gt;="&amp;BO$90))</f>
        <v/>
      </c>
      <c r="BP101" s="91" t="str">
        <f>IF($A101="","",SUMIFS(of_hpd,of_poste,$A101,of_start,"&lt;="&amp;BP$90,of_end,"&gt;="&amp;BP$90))</f>
        <v/>
      </c>
      <c r="BQ101" s="91" t="str">
        <f>IF($A101="","",SUMIFS(of_hpd,of_poste,$A101,of_start,"&lt;="&amp;BQ$90,of_end,"&gt;="&amp;BQ$90))</f>
        <v/>
      </c>
      <c r="BR101" s="91" t="str">
        <f>IF($A101="","",SUMIFS(of_hpd,of_poste,$A101,of_start,"&lt;="&amp;BR$90,of_end,"&gt;="&amp;BR$90))</f>
        <v/>
      </c>
      <c r="BS101" s="91" t="str">
        <f>IF($A101="","",SUMIFS(of_hpd,of_poste,$A101,of_start,"&lt;="&amp;BS$90,of_end,"&gt;="&amp;BS$90))</f>
        <v/>
      </c>
      <c r="BT101" s="91" t="str">
        <f>IF($A101="","",SUMIFS(of_hpd,of_poste,$A101,of_start,"&lt;="&amp;BT$90,of_end,"&gt;="&amp;BT$90))</f>
        <v/>
      </c>
      <c r="BU101" s="91" t="str">
        <f>IF($A101="","",SUMIFS(of_hpd,of_poste,$A101,of_start,"&lt;="&amp;BU$90,of_end,"&gt;="&amp;BU$90))</f>
        <v/>
      </c>
      <c r="BV101" s="91" t="str">
        <f>IF($A101="","",SUMIFS(of_hpd,of_poste,$A101,of_start,"&lt;="&amp;BV$90,of_end,"&gt;="&amp;BV$90))</f>
        <v/>
      </c>
    </row>
    <row r="102">
      <c r="A102" s="90" t="str">
        <f>IF(INDEX(po_code,11)="","",INDEX(po_code,11))</f>
        <v/>
      </c>
      <c r="C102" s="91" t="str">
        <f>IF($A102="","",SUMIFS(of_hpd,of_poste,$A102,of_start,"&lt;="&amp;C$90,of_end,"&gt;="&amp;C$90))</f>
        <v/>
      </c>
      <c r="D102" s="91" t="str">
        <f>IF($A102="","",SUMIFS(of_hpd,of_poste,$A102,of_start,"&lt;="&amp;D$90,of_end,"&gt;="&amp;D$90))</f>
        <v/>
      </c>
      <c r="E102" s="91" t="str">
        <f>IF($A102="","",SUMIFS(of_hpd,of_poste,$A102,of_start,"&lt;="&amp;E$90,of_end,"&gt;="&amp;E$90))</f>
        <v/>
      </c>
      <c r="F102" s="91" t="str">
        <f>IF($A102="","",SUMIFS(of_hpd,of_poste,$A102,of_start,"&lt;="&amp;F$90,of_end,"&gt;="&amp;F$90))</f>
        <v/>
      </c>
      <c r="G102" s="91" t="str">
        <f>IF($A102="","",SUMIFS(of_hpd,of_poste,$A102,of_start,"&lt;="&amp;G$90,of_end,"&gt;="&amp;G$90))</f>
        <v/>
      </c>
      <c r="H102" s="91" t="str">
        <f>IF($A102="","",SUMIFS(of_hpd,of_poste,$A102,of_start,"&lt;="&amp;H$90,of_end,"&gt;="&amp;H$90))</f>
        <v/>
      </c>
      <c r="I102" s="91" t="str">
        <f>IF($A102="","",SUMIFS(of_hpd,of_poste,$A102,of_start,"&lt;="&amp;I$90,of_end,"&gt;="&amp;I$90))</f>
        <v/>
      </c>
      <c r="J102" s="91" t="str">
        <f>IF($A102="","",SUMIFS(of_hpd,of_poste,$A102,of_start,"&lt;="&amp;J$90,of_end,"&gt;="&amp;J$90))</f>
        <v/>
      </c>
      <c r="K102" s="91" t="str">
        <f>IF($A102="","",SUMIFS(of_hpd,of_poste,$A102,of_start,"&lt;="&amp;K$90,of_end,"&gt;="&amp;K$90))</f>
        <v/>
      </c>
      <c r="L102" s="91" t="str">
        <f>IF($A102="","",SUMIFS(of_hpd,of_poste,$A102,of_start,"&lt;="&amp;L$90,of_end,"&gt;="&amp;L$90))</f>
        <v/>
      </c>
      <c r="M102" s="91" t="str">
        <f>IF($A102="","",SUMIFS(of_hpd,of_poste,$A102,of_start,"&lt;="&amp;M$90,of_end,"&gt;="&amp;M$90))</f>
        <v/>
      </c>
      <c r="N102" s="91" t="str">
        <f>IF($A102="","",SUMIFS(of_hpd,of_poste,$A102,of_start,"&lt;="&amp;N$90,of_end,"&gt;="&amp;N$90))</f>
        <v/>
      </c>
      <c r="O102" s="91" t="str">
        <f>IF($A102="","",SUMIFS(of_hpd,of_poste,$A102,of_start,"&lt;="&amp;O$90,of_end,"&gt;="&amp;O$90))</f>
        <v/>
      </c>
      <c r="P102" s="91" t="str">
        <f>IF($A102="","",SUMIFS(of_hpd,of_poste,$A102,of_start,"&lt;="&amp;P$90,of_end,"&gt;="&amp;P$90))</f>
        <v/>
      </c>
      <c r="Q102" s="91" t="str">
        <f>IF($A102="","",SUMIFS(of_hpd,of_poste,$A102,of_start,"&lt;="&amp;Q$90,of_end,"&gt;="&amp;Q$90))</f>
        <v/>
      </c>
      <c r="R102" s="91" t="str">
        <f>IF($A102="","",SUMIFS(of_hpd,of_poste,$A102,of_start,"&lt;="&amp;R$90,of_end,"&gt;="&amp;R$90))</f>
        <v/>
      </c>
      <c r="S102" s="91" t="str">
        <f>IF($A102="","",SUMIFS(of_hpd,of_poste,$A102,of_start,"&lt;="&amp;S$90,of_end,"&gt;="&amp;S$90))</f>
        <v/>
      </c>
      <c r="T102" s="91" t="str">
        <f>IF($A102="","",SUMIFS(of_hpd,of_poste,$A102,of_start,"&lt;="&amp;T$90,of_end,"&gt;="&amp;T$90))</f>
        <v/>
      </c>
      <c r="U102" s="91" t="str">
        <f>IF($A102="","",SUMIFS(of_hpd,of_poste,$A102,of_start,"&lt;="&amp;U$90,of_end,"&gt;="&amp;U$90))</f>
        <v/>
      </c>
      <c r="V102" s="91" t="str">
        <f>IF($A102="","",SUMIFS(of_hpd,of_poste,$A102,of_start,"&lt;="&amp;V$90,of_end,"&gt;="&amp;V$90))</f>
        <v/>
      </c>
      <c r="W102" s="91" t="str">
        <f>IF($A102="","",SUMIFS(of_hpd,of_poste,$A102,of_start,"&lt;="&amp;W$90,of_end,"&gt;="&amp;W$90))</f>
        <v/>
      </c>
      <c r="X102" s="91" t="str">
        <f>IF($A102="","",SUMIFS(of_hpd,of_poste,$A102,of_start,"&lt;="&amp;X$90,of_end,"&gt;="&amp;X$90))</f>
        <v/>
      </c>
      <c r="Y102" s="91" t="str">
        <f>IF($A102="","",SUMIFS(of_hpd,of_poste,$A102,of_start,"&lt;="&amp;Y$90,of_end,"&gt;="&amp;Y$90))</f>
        <v/>
      </c>
      <c r="Z102" s="91" t="str">
        <f>IF($A102="","",SUMIFS(of_hpd,of_poste,$A102,of_start,"&lt;="&amp;Z$90,of_end,"&gt;="&amp;Z$90))</f>
        <v/>
      </c>
      <c r="AA102" s="91" t="str">
        <f>IF($A102="","",SUMIFS(of_hpd,of_poste,$A102,of_start,"&lt;="&amp;AA$90,of_end,"&gt;="&amp;AA$90))</f>
        <v/>
      </c>
      <c r="AB102" s="91" t="str">
        <f>IF($A102="","",SUMIFS(of_hpd,of_poste,$A102,of_start,"&lt;="&amp;AB$90,of_end,"&gt;="&amp;AB$90))</f>
        <v/>
      </c>
      <c r="AC102" s="91" t="str">
        <f>IF($A102="","",SUMIFS(of_hpd,of_poste,$A102,of_start,"&lt;="&amp;AC$90,of_end,"&gt;="&amp;AC$90))</f>
        <v/>
      </c>
      <c r="AD102" s="91" t="str">
        <f>IF($A102="","",SUMIFS(of_hpd,of_poste,$A102,of_start,"&lt;="&amp;AD$90,of_end,"&gt;="&amp;AD$90))</f>
        <v/>
      </c>
      <c r="AE102" s="91" t="str">
        <f>IF($A102="","",SUMIFS(of_hpd,of_poste,$A102,of_start,"&lt;="&amp;AE$90,of_end,"&gt;="&amp;AE$90))</f>
        <v/>
      </c>
      <c r="AF102" s="91" t="str">
        <f>IF($A102="","",SUMIFS(of_hpd,of_poste,$A102,of_start,"&lt;="&amp;AF$90,of_end,"&gt;="&amp;AF$90))</f>
        <v/>
      </c>
      <c r="AG102" s="91" t="str">
        <f>IF($A102="","",SUMIFS(of_hpd,of_poste,$A102,of_start,"&lt;="&amp;AG$90,of_end,"&gt;="&amp;AG$90))</f>
        <v/>
      </c>
      <c r="AH102" s="91" t="str">
        <f>IF($A102="","",SUMIFS(of_hpd,of_poste,$A102,of_start,"&lt;="&amp;AH$90,of_end,"&gt;="&amp;AH$90))</f>
        <v/>
      </c>
      <c r="AI102" s="91" t="str">
        <f>IF($A102="","",SUMIFS(of_hpd,of_poste,$A102,of_start,"&lt;="&amp;AI$90,of_end,"&gt;="&amp;AI$90))</f>
        <v/>
      </c>
      <c r="AJ102" s="91" t="str">
        <f>IF($A102="","",SUMIFS(of_hpd,of_poste,$A102,of_start,"&lt;="&amp;AJ$90,of_end,"&gt;="&amp;AJ$90))</f>
        <v/>
      </c>
      <c r="AK102" s="91" t="str">
        <f>IF($A102="","",SUMIFS(of_hpd,of_poste,$A102,of_start,"&lt;="&amp;AK$90,of_end,"&gt;="&amp;AK$90))</f>
        <v/>
      </c>
      <c r="AL102" s="91" t="str">
        <f>IF($A102="","",SUMIFS(of_hpd,of_poste,$A102,of_start,"&lt;="&amp;AL$90,of_end,"&gt;="&amp;AL$90))</f>
        <v/>
      </c>
      <c r="AM102" s="91" t="str">
        <f>IF($A102="","",SUMIFS(of_hpd,of_poste,$A102,of_start,"&lt;="&amp;AM$90,of_end,"&gt;="&amp;AM$90))</f>
        <v/>
      </c>
      <c r="AN102" s="91" t="str">
        <f>IF($A102="","",SUMIFS(of_hpd,of_poste,$A102,of_start,"&lt;="&amp;AN$90,of_end,"&gt;="&amp;AN$90))</f>
        <v/>
      </c>
      <c r="AO102" s="91" t="str">
        <f>IF($A102="","",SUMIFS(of_hpd,of_poste,$A102,of_start,"&lt;="&amp;AO$90,of_end,"&gt;="&amp;AO$90))</f>
        <v/>
      </c>
      <c r="AP102" s="91" t="str">
        <f>IF($A102="","",SUMIFS(of_hpd,of_poste,$A102,of_start,"&lt;="&amp;AP$90,of_end,"&gt;="&amp;AP$90))</f>
        <v/>
      </c>
      <c r="AQ102" s="91" t="str">
        <f>IF($A102="","",SUMIFS(of_hpd,of_poste,$A102,of_start,"&lt;="&amp;AQ$90,of_end,"&gt;="&amp;AQ$90))</f>
        <v/>
      </c>
      <c r="AR102" s="91" t="str">
        <f>IF($A102="","",SUMIFS(of_hpd,of_poste,$A102,of_start,"&lt;="&amp;AR$90,of_end,"&gt;="&amp;AR$90))</f>
        <v/>
      </c>
      <c r="AS102" s="91" t="str">
        <f>IF($A102="","",SUMIFS(of_hpd,of_poste,$A102,of_start,"&lt;="&amp;AS$90,of_end,"&gt;="&amp;AS$90))</f>
        <v/>
      </c>
      <c r="AT102" s="91" t="str">
        <f>IF($A102="","",SUMIFS(of_hpd,of_poste,$A102,of_start,"&lt;="&amp;AT$90,of_end,"&gt;="&amp;AT$90))</f>
        <v/>
      </c>
      <c r="AU102" s="91" t="str">
        <f>IF($A102="","",SUMIFS(of_hpd,of_poste,$A102,of_start,"&lt;="&amp;AU$90,of_end,"&gt;="&amp;AU$90))</f>
        <v/>
      </c>
      <c r="AV102" s="91" t="str">
        <f>IF($A102="","",SUMIFS(of_hpd,of_poste,$A102,of_start,"&lt;="&amp;AV$90,of_end,"&gt;="&amp;AV$90))</f>
        <v/>
      </c>
      <c r="AW102" s="91" t="str">
        <f>IF($A102="","",SUMIFS(of_hpd,of_poste,$A102,of_start,"&lt;="&amp;AW$90,of_end,"&gt;="&amp;AW$90))</f>
        <v/>
      </c>
      <c r="AX102" s="91" t="str">
        <f>IF($A102="","",SUMIFS(of_hpd,of_poste,$A102,of_start,"&lt;="&amp;AX$90,of_end,"&gt;="&amp;AX$90))</f>
        <v/>
      </c>
      <c r="AY102" s="91" t="str">
        <f>IF($A102="","",SUMIFS(of_hpd,of_poste,$A102,of_start,"&lt;="&amp;AY$90,of_end,"&gt;="&amp;AY$90))</f>
        <v/>
      </c>
      <c r="AZ102" s="91" t="str">
        <f>IF($A102="","",SUMIFS(of_hpd,of_poste,$A102,of_start,"&lt;="&amp;AZ$90,of_end,"&gt;="&amp;AZ$90))</f>
        <v/>
      </c>
      <c r="BA102" s="91" t="str">
        <f>IF($A102="","",SUMIFS(of_hpd,of_poste,$A102,of_start,"&lt;="&amp;BA$90,of_end,"&gt;="&amp;BA$90))</f>
        <v/>
      </c>
      <c r="BB102" s="91" t="str">
        <f>IF($A102="","",SUMIFS(of_hpd,of_poste,$A102,of_start,"&lt;="&amp;BB$90,of_end,"&gt;="&amp;BB$90))</f>
        <v/>
      </c>
      <c r="BC102" s="91" t="str">
        <f>IF($A102="","",SUMIFS(of_hpd,of_poste,$A102,of_start,"&lt;="&amp;BC$90,of_end,"&gt;="&amp;BC$90))</f>
        <v/>
      </c>
      <c r="BD102" s="91" t="str">
        <f>IF($A102="","",SUMIFS(of_hpd,of_poste,$A102,of_start,"&lt;="&amp;BD$90,of_end,"&gt;="&amp;BD$90))</f>
        <v/>
      </c>
      <c r="BE102" s="91" t="str">
        <f>IF($A102="","",SUMIFS(of_hpd,of_poste,$A102,of_start,"&lt;="&amp;BE$90,of_end,"&gt;="&amp;BE$90))</f>
        <v/>
      </c>
      <c r="BF102" s="91" t="str">
        <f>IF($A102="","",SUMIFS(of_hpd,of_poste,$A102,of_start,"&lt;="&amp;BF$90,of_end,"&gt;="&amp;BF$90))</f>
        <v/>
      </c>
      <c r="BG102" s="91" t="str">
        <f>IF($A102="","",SUMIFS(of_hpd,of_poste,$A102,of_start,"&lt;="&amp;BG$90,of_end,"&gt;="&amp;BG$90))</f>
        <v/>
      </c>
      <c r="BH102" s="91" t="str">
        <f>IF($A102="","",SUMIFS(of_hpd,of_poste,$A102,of_start,"&lt;="&amp;BH$90,of_end,"&gt;="&amp;BH$90))</f>
        <v/>
      </c>
      <c r="BI102" s="91" t="str">
        <f>IF($A102="","",SUMIFS(of_hpd,of_poste,$A102,of_start,"&lt;="&amp;BI$90,of_end,"&gt;="&amp;BI$90))</f>
        <v/>
      </c>
      <c r="BJ102" s="91" t="str">
        <f>IF($A102="","",SUMIFS(of_hpd,of_poste,$A102,of_start,"&lt;="&amp;BJ$90,of_end,"&gt;="&amp;BJ$90))</f>
        <v/>
      </c>
      <c r="BK102" s="91" t="str">
        <f>IF($A102="","",SUMIFS(of_hpd,of_poste,$A102,of_start,"&lt;="&amp;BK$90,of_end,"&gt;="&amp;BK$90))</f>
        <v/>
      </c>
      <c r="BL102" s="91" t="str">
        <f>IF($A102="","",SUMIFS(of_hpd,of_poste,$A102,of_start,"&lt;="&amp;BL$90,of_end,"&gt;="&amp;BL$90))</f>
        <v/>
      </c>
      <c r="BM102" s="91" t="str">
        <f>IF($A102="","",SUMIFS(of_hpd,of_poste,$A102,of_start,"&lt;="&amp;BM$90,of_end,"&gt;="&amp;BM$90))</f>
        <v/>
      </c>
      <c r="BN102" s="91" t="str">
        <f>IF($A102="","",SUMIFS(of_hpd,of_poste,$A102,of_start,"&lt;="&amp;BN$90,of_end,"&gt;="&amp;BN$90))</f>
        <v/>
      </c>
      <c r="BO102" s="91" t="str">
        <f>IF($A102="","",SUMIFS(of_hpd,of_poste,$A102,of_start,"&lt;="&amp;BO$90,of_end,"&gt;="&amp;BO$90))</f>
        <v/>
      </c>
      <c r="BP102" s="91" t="str">
        <f>IF($A102="","",SUMIFS(of_hpd,of_poste,$A102,of_start,"&lt;="&amp;BP$90,of_end,"&gt;="&amp;BP$90))</f>
        <v/>
      </c>
      <c r="BQ102" s="91" t="str">
        <f>IF($A102="","",SUMIFS(of_hpd,of_poste,$A102,of_start,"&lt;="&amp;BQ$90,of_end,"&gt;="&amp;BQ$90))</f>
        <v/>
      </c>
      <c r="BR102" s="91" t="str">
        <f>IF($A102="","",SUMIFS(of_hpd,of_poste,$A102,of_start,"&lt;="&amp;BR$90,of_end,"&gt;="&amp;BR$90))</f>
        <v/>
      </c>
      <c r="BS102" s="91" t="str">
        <f>IF($A102="","",SUMIFS(of_hpd,of_poste,$A102,of_start,"&lt;="&amp;BS$90,of_end,"&gt;="&amp;BS$90))</f>
        <v/>
      </c>
      <c r="BT102" s="91" t="str">
        <f>IF($A102="","",SUMIFS(of_hpd,of_poste,$A102,of_start,"&lt;="&amp;BT$90,of_end,"&gt;="&amp;BT$90))</f>
        <v/>
      </c>
      <c r="BU102" s="91" t="str">
        <f>IF($A102="","",SUMIFS(of_hpd,of_poste,$A102,of_start,"&lt;="&amp;BU$90,of_end,"&gt;="&amp;BU$90))</f>
        <v/>
      </c>
      <c r="BV102" s="91" t="str">
        <f>IF($A102="","",SUMIFS(of_hpd,of_poste,$A102,of_start,"&lt;="&amp;BV$90,of_end,"&gt;="&amp;BV$90))</f>
        <v/>
      </c>
    </row>
    <row r="103">
      <c r="A103" s="90" t="str">
        <f>IF(INDEX(po_code,12)="","",INDEX(po_code,12))</f>
        <v/>
      </c>
      <c r="C103" s="91" t="str">
        <f>IF($A103="","",SUMIFS(of_hpd,of_poste,$A103,of_start,"&lt;="&amp;C$90,of_end,"&gt;="&amp;C$90))</f>
        <v/>
      </c>
      <c r="D103" s="91" t="str">
        <f>IF($A103="","",SUMIFS(of_hpd,of_poste,$A103,of_start,"&lt;="&amp;D$90,of_end,"&gt;="&amp;D$90))</f>
        <v/>
      </c>
      <c r="E103" s="91" t="str">
        <f>IF($A103="","",SUMIFS(of_hpd,of_poste,$A103,of_start,"&lt;="&amp;E$90,of_end,"&gt;="&amp;E$90))</f>
        <v/>
      </c>
      <c r="F103" s="91" t="str">
        <f>IF($A103="","",SUMIFS(of_hpd,of_poste,$A103,of_start,"&lt;="&amp;F$90,of_end,"&gt;="&amp;F$90))</f>
        <v/>
      </c>
      <c r="G103" s="91" t="str">
        <f>IF($A103="","",SUMIFS(of_hpd,of_poste,$A103,of_start,"&lt;="&amp;G$90,of_end,"&gt;="&amp;G$90))</f>
        <v/>
      </c>
      <c r="H103" s="91" t="str">
        <f>IF($A103="","",SUMIFS(of_hpd,of_poste,$A103,of_start,"&lt;="&amp;H$90,of_end,"&gt;="&amp;H$90))</f>
        <v/>
      </c>
      <c r="I103" s="91" t="str">
        <f>IF($A103="","",SUMIFS(of_hpd,of_poste,$A103,of_start,"&lt;="&amp;I$90,of_end,"&gt;="&amp;I$90))</f>
        <v/>
      </c>
      <c r="J103" s="91" t="str">
        <f>IF($A103="","",SUMIFS(of_hpd,of_poste,$A103,of_start,"&lt;="&amp;J$90,of_end,"&gt;="&amp;J$90))</f>
        <v/>
      </c>
      <c r="K103" s="91" t="str">
        <f>IF($A103="","",SUMIFS(of_hpd,of_poste,$A103,of_start,"&lt;="&amp;K$90,of_end,"&gt;="&amp;K$90))</f>
        <v/>
      </c>
      <c r="L103" s="91" t="str">
        <f>IF($A103="","",SUMIFS(of_hpd,of_poste,$A103,of_start,"&lt;="&amp;L$90,of_end,"&gt;="&amp;L$90))</f>
        <v/>
      </c>
      <c r="M103" s="91" t="str">
        <f>IF($A103="","",SUMIFS(of_hpd,of_poste,$A103,of_start,"&lt;="&amp;M$90,of_end,"&gt;="&amp;M$90))</f>
        <v/>
      </c>
      <c r="N103" s="91" t="str">
        <f>IF($A103="","",SUMIFS(of_hpd,of_poste,$A103,of_start,"&lt;="&amp;N$90,of_end,"&gt;="&amp;N$90))</f>
        <v/>
      </c>
      <c r="O103" s="91" t="str">
        <f>IF($A103="","",SUMIFS(of_hpd,of_poste,$A103,of_start,"&lt;="&amp;O$90,of_end,"&gt;="&amp;O$90))</f>
        <v/>
      </c>
      <c r="P103" s="91" t="str">
        <f>IF($A103="","",SUMIFS(of_hpd,of_poste,$A103,of_start,"&lt;="&amp;P$90,of_end,"&gt;="&amp;P$90))</f>
        <v/>
      </c>
      <c r="Q103" s="91" t="str">
        <f>IF($A103="","",SUMIFS(of_hpd,of_poste,$A103,of_start,"&lt;="&amp;Q$90,of_end,"&gt;="&amp;Q$90))</f>
        <v/>
      </c>
      <c r="R103" s="91" t="str">
        <f>IF($A103="","",SUMIFS(of_hpd,of_poste,$A103,of_start,"&lt;="&amp;R$90,of_end,"&gt;="&amp;R$90))</f>
        <v/>
      </c>
      <c r="S103" s="91" t="str">
        <f>IF($A103="","",SUMIFS(of_hpd,of_poste,$A103,of_start,"&lt;="&amp;S$90,of_end,"&gt;="&amp;S$90))</f>
        <v/>
      </c>
      <c r="T103" s="91" t="str">
        <f>IF($A103="","",SUMIFS(of_hpd,of_poste,$A103,of_start,"&lt;="&amp;T$90,of_end,"&gt;="&amp;T$90))</f>
        <v/>
      </c>
      <c r="U103" s="91" t="str">
        <f>IF($A103="","",SUMIFS(of_hpd,of_poste,$A103,of_start,"&lt;="&amp;U$90,of_end,"&gt;="&amp;U$90))</f>
        <v/>
      </c>
      <c r="V103" s="91" t="str">
        <f>IF($A103="","",SUMIFS(of_hpd,of_poste,$A103,of_start,"&lt;="&amp;V$90,of_end,"&gt;="&amp;V$90))</f>
        <v/>
      </c>
      <c r="W103" s="91" t="str">
        <f>IF($A103="","",SUMIFS(of_hpd,of_poste,$A103,of_start,"&lt;="&amp;W$90,of_end,"&gt;="&amp;W$90))</f>
        <v/>
      </c>
      <c r="X103" s="91" t="str">
        <f>IF($A103="","",SUMIFS(of_hpd,of_poste,$A103,of_start,"&lt;="&amp;X$90,of_end,"&gt;="&amp;X$90))</f>
        <v/>
      </c>
      <c r="Y103" s="91" t="str">
        <f>IF($A103="","",SUMIFS(of_hpd,of_poste,$A103,of_start,"&lt;="&amp;Y$90,of_end,"&gt;="&amp;Y$90))</f>
        <v/>
      </c>
      <c r="Z103" s="91" t="str">
        <f>IF($A103="","",SUMIFS(of_hpd,of_poste,$A103,of_start,"&lt;="&amp;Z$90,of_end,"&gt;="&amp;Z$90))</f>
        <v/>
      </c>
      <c r="AA103" s="91" t="str">
        <f>IF($A103="","",SUMIFS(of_hpd,of_poste,$A103,of_start,"&lt;="&amp;AA$90,of_end,"&gt;="&amp;AA$90))</f>
        <v/>
      </c>
      <c r="AB103" s="91" t="str">
        <f>IF($A103="","",SUMIFS(of_hpd,of_poste,$A103,of_start,"&lt;="&amp;AB$90,of_end,"&gt;="&amp;AB$90))</f>
        <v/>
      </c>
      <c r="AC103" s="91" t="str">
        <f>IF($A103="","",SUMIFS(of_hpd,of_poste,$A103,of_start,"&lt;="&amp;AC$90,of_end,"&gt;="&amp;AC$90))</f>
        <v/>
      </c>
      <c r="AD103" s="91" t="str">
        <f>IF($A103="","",SUMIFS(of_hpd,of_poste,$A103,of_start,"&lt;="&amp;AD$90,of_end,"&gt;="&amp;AD$90))</f>
        <v/>
      </c>
      <c r="AE103" s="91" t="str">
        <f>IF($A103="","",SUMIFS(of_hpd,of_poste,$A103,of_start,"&lt;="&amp;AE$90,of_end,"&gt;="&amp;AE$90))</f>
        <v/>
      </c>
      <c r="AF103" s="91" t="str">
        <f>IF($A103="","",SUMIFS(of_hpd,of_poste,$A103,of_start,"&lt;="&amp;AF$90,of_end,"&gt;="&amp;AF$90))</f>
        <v/>
      </c>
      <c r="AG103" s="91" t="str">
        <f>IF($A103="","",SUMIFS(of_hpd,of_poste,$A103,of_start,"&lt;="&amp;AG$90,of_end,"&gt;="&amp;AG$90))</f>
        <v/>
      </c>
      <c r="AH103" s="91" t="str">
        <f>IF($A103="","",SUMIFS(of_hpd,of_poste,$A103,of_start,"&lt;="&amp;AH$90,of_end,"&gt;="&amp;AH$90))</f>
        <v/>
      </c>
      <c r="AI103" s="91" t="str">
        <f>IF($A103="","",SUMIFS(of_hpd,of_poste,$A103,of_start,"&lt;="&amp;AI$90,of_end,"&gt;="&amp;AI$90))</f>
        <v/>
      </c>
      <c r="AJ103" s="91" t="str">
        <f>IF($A103="","",SUMIFS(of_hpd,of_poste,$A103,of_start,"&lt;="&amp;AJ$90,of_end,"&gt;="&amp;AJ$90))</f>
        <v/>
      </c>
      <c r="AK103" s="91" t="str">
        <f>IF($A103="","",SUMIFS(of_hpd,of_poste,$A103,of_start,"&lt;="&amp;AK$90,of_end,"&gt;="&amp;AK$90))</f>
        <v/>
      </c>
      <c r="AL103" s="91" t="str">
        <f>IF($A103="","",SUMIFS(of_hpd,of_poste,$A103,of_start,"&lt;="&amp;AL$90,of_end,"&gt;="&amp;AL$90))</f>
        <v/>
      </c>
      <c r="AM103" s="91" t="str">
        <f>IF($A103="","",SUMIFS(of_hpd,of_poste,$A103,of_start,"&lt;="&amp;AM$90,of_end,"&gt;="&amp;AM$90))</f>
        <v/>
      </c>
      <c r="AN103" s="91" t="str">
        <f>IF($A103="","",SUMIFS(of_hpd,of_poste,$A103,of_start,"&lt;="&amp;AN$90,of_end,"&gt;="&amp;AN$90))</f>
        <v/>
      </c>
      <c r="AO103" s="91" t="str">
        <f>IF($A103="","",SUMIFS(of_hpd,of_poste,$A103,of_start,"&lt;="&amp;AO$90,of_end,"&gt;="&amp;AO$90))</f>
        <v/>
      </c>
      <c r="AP103" s="91" t="str">
        <f>IF($A103="","",SUMIFS(of_hpd,of_poste,$A103,of_start,"&lt;="&amp;AP$90,of_end,"&gt;="&amp;AP$90))</f>
        <v/>
      </c>
      <c r="AQ103" s="91" t="str">
        <f>IF($A103="","",SUMIFS(of_hpd,of_poste,$A103,of_start,"&lt;="&amp;AQ$90,of_end,"&gt;="&amp;AQ$90))</f>
        <v/>
      </c>
      <c r="AR103" s="91" t="str">
        <f>IF($A103="","",SUMIFS(of_hpd,of_poste,$A103,of_start,"&lt;="&amp;AR$90,of_end,"&gt;="&amp;AR$90))</f>
        <v/>
      </c>
      <c r="AS103" s="91" t="str">
        <f>IF($A103="","",SUMIFS(of_hpd,of_poste,$A103,of_start,"&lt;="&amp;AS$90,of_end,"&gt;="&amp;AS$90))</f>
        <v/>
      </c>
      <c r="AT103" s="91" t="str">
        <f>IF($A103="","",SUMIFS(of_hpd,of_poste,$A103,of_start,"&lt;="&amp;AT$90,of_end,"&gt;="&amp;AT$90))</f>
        <v/>
      </c>
      <c r="AU103" s="91" t="str">
        <f>IF($A103="","",SUMIFS(of_hpd,of_poste,$A103,of_start,"&lt;="&amp;AU$90,of_end,"&gt;="&amp;AU$90))</f>
        <v/>
      </c>
      <c r="AV103" s="91" t="str">
        <f>IF($A103="","",SUMIFS(of_hpd,of_poste,$A103,of_start,"&lt;="&amp;AV$90,of_end,"&gt;="&amp;AV$90))</f>
        <v/>
      </c>
      <c r="AW103" s="91" t="str">
        <f>IF($A103="","",SUMIFS(of_hpd,of_poste,$A103,of_start,"&lt;="&amp;AW$90,of_end,"&gt;="&amp;AW$90))</f>
        <v/>
      </c>
      <c r="AX103" s="91" t="str">
        <f>IF($A103="","",SUMIFS(of_hpd,of_poste,$A103,of_start,"&lt;="&amp;AX$90,of_end,"&gt;="&amp;AX$90))</f>
        <v/>
      </c>
      <c r="AY103" s="91" t="str">
        <f>IF($A103="","",SUMIFS(of_hpd,of_poste,$A103,of_start,"&lt;="&amp;AY$90,of_end,"&gt;="&amp;AY$90))</f>
        <v/>
      </c>
      <c r="AZ103" s="91" t="str">
        <f>IF($A103="","",SUMIFS(of_hpd,of_poste,$A103,of_start,"&lt;="&amp;AZ$90,of_end,"&gt;="&amp;AZ$90))</f>
        <v/>
      </c>
      <c r="BA103" s="91" t="str">
        <f>IF($A103="","",SUMIFS(of_hpd,of_poste,$A103,of_start,"&lt;="&amp;BA$90,of_end,"&gt;="&amp;BA$90))</f>
        <v/>
      </c>
      <c r="BB103" s="91" t="str">
        <f>IF($A103="","",SUMIFS(of_hpd,of_poste,$A103,of_start,"&lt;="&amp;BB$90,of_end,"&gt;="&amp;BB$90))</f>
        <v/>
      </c>
      <c r="BC103" s="91" t="str">
        <f>IF($A103="","",SUMIFS(of_hpd,of_poste,$A103,of_start,"&lt;="&amp;BC$90,of_end,"&gt;="&amp;BC$90))</f>
        <v/>
      </c>
      <c r="BD103" s="91" t="str">
        <f>IF($A103="","",SUMIFS(of_hpd,of_poste,$A103,of_start,"&lt;="&amp;BD$90,of_end,"&gt;="&amp;BD$90))</f>
        <v/>
      </c>
      <c r="BE103" s="91" t="str">
        <f>IF($A103="","",SUMIFS(of_hpd,of_poste,$A103,of_start,"&lt;="&amp;BE$90,of_end,"&gt;="&amp;BE$90))</f>
        <v/>
      </c>
      <c r="BF103" s="91" t="str">
        <f>IF($A103="","",SUMIFS(of_hpd,of_poste,$A103,of_start,"&lt;="&amp;BF$90,of_end,"&gt;="&amp;BF$90))</f>
        <v/>
      </c>
      <c r="BG103" s="91" t="str">
        <f>IF($A103="","",SUMIFS(of_hpd,of_poste,$A103,of_start,"&lt;="&amp;BG$90,of_end,"&gt;="&amp;BG$90))</f>
        <v/>
      </c>
      <c r="BH103" s="91" t="str">
        <f>IF($A103="","",SUMIFS(of_hpd,of_poste,$A103,of_start,"&lt;="&amp;BH$90,of_end,"&gt;="&amp;BH$90))</f>
        <v/>
      </c>
      <c r="BI103" s="91" t="str">
        <f>IF($A103="","",SUMIFS(of_hpd,of_poste,$A103,of_start,"&lt;="&amp;BI$90,of_end,"&gt;="&amp;BI$90))</f>
        <v/>
      </c>
      <c r="BJ103" s="91" t="str">
        <f>IF($A103="","",SUMIFS(of_hpd,of_poste,$A103,of_start,"&lt;="&amp;BJ$90,of_end,"&gt;="&amp;BJ$90))</f>
        <v/>
      </c>
      <c r="BK103" s="91" t="str">
        <f>IF($A103="","",SUMIFS(of_hpd,of_poste,$A103,of_start,"&lt;="&amp;BK$90,of_end,"&gt;="&amp;BK$90))</f>
        <v/>
      </c>
      <c r="BL103" s="91" t="str">
        <f>IF($A103="","",SUMIFS(of_hpd,of_poste,$A103,of_start,"&lt;="&amp;BL$90,of_end,"&gt;="&amp;BL$90))</f>
        <v/>
      </c>
      <c r="BM103" s="91" t="str">
        <f>IF($A103="","",SUMIFS(of_hpd,of_poste,$A103,of_start,"&lt;="&amp;BM$90,of_end,"&gt;="&amp;BM$90))</f>
        <v/>
      </c>
      <c r="BN103" s="91" t="str">
        <f>IF($A103="","",SUMIFS(of_hpd,of_poste,$A103,of_start,"&lt;="&amp;BN$90,of_end,"&gt;="&amp;BN$90))</f>
        <v/>
      </c>
      <c r="BO103" s="91" t="str">
        <f>IF($A103="","",SUMIFS(of_hpd,of_poste,$A103,of_start,"&lt;="&amp;BO$90,of_end,"&gt;="&amp;BO$90))</f>
        <v/>
      </c>
      <c r="BP103" s="91" t="str">
        <f>IF($A103="","",SUMIFS(of_hpd,of_poste,$A103,of_start,"&lt;="&amp;BP$90,of_end,"&gt;="&amp;BP$90))</f>
        <v/>
      </c>
      <c r="BQ103" s="91" t="str">
        <f>IF($A103="","",SUMIFS(of_hpd,of_poste,$A103,of_start,"&lt;="&amp;BQ$90,of_end,"&gt;="&amp;BQ$90))</f>
        <v/>
      </c>
      <c r="BR103" s="91" t="str">
        <f>IF($A103="","",SUMIFS(of_hpd,of_poste,$A103,of_start,"&lt;="&amp;BR$90,of_end,"&gt;="&amp;BR$90))</f>
        <v/>
      </c>
      <c r="BS103" s="91" t="str">
        <f>IF($A103="","",SUMIFS(of_hpd,of_poste,$A103,of_start,"&lt;="&amp;BS$90,of_end,"&gt;="&amp;BS$90))</f>
        <v/>
      </c>
      <c r="BT103" s="91" t="str">
        <f>IF($A103="","",SUMIFS(of_hpd,of_poste,$A103,of_start,"&lt;="&amp;BT$90,of_end,"&gt;="&amp;BT$90))</f>
        <v/>
      </c>
      <c r="BU103" s="91" t="str">
        <f>IF($A103="","",SUMIFS(of_hpd,of_poste,$A103,of_start,"&lt;="&amp;BU$90,of_end,"&gt;="&amp;BU$90))</f>
        <v/>
      </c>
      <c r="BV103" s="91" t="str">
        <f>IF($A103="","",SUMIFS(of_hpd,of_poste,$A103,of_start,"&lt;="&amp;BV$90,of_end,"&gt;="&amp;BV$90))</f>
        <v/>
      </c>
    </row>
    <row r="104">
      <c r="A104" s="90" t="str">
        <f>IF(INDEX(po_code,13)="","",INDEX(po_code,13))</f>
        <v/>
      </c>
      <c r="C104" s="91" t="str">
        <f>IF($A104="","",SUMIFS(of_hpd,of_poste,$A104,of_start,"&lt;="&amp;C$90,of_end,"&gt;="&amp;C$90))</f>
        <v/>
      </c>
      <c r="D104" s="91" t="str">
        <f>IF($A104="","",SUMIFS(of_hpd,of_poste,$A104,of_start,"&lt;="&amp;D$90,of_end,"&gt;="&amp;D$90))</f>
        <v/>
      </c>
      <c r="E104" s="91" t="str">
        <f>IF($A104="","",SUMIFS(of_hpd,of_poste,$A104,of_start,"&lt;="&amp;E$90,of_end,"&gt;="&amp;E$90))</f>
        <v/>
      </c>
      <c r="F104" s="91" t="str">
        <f>IF($A104="","",SUMIFS(of_hpd,of_poste,$A104,of_start,"&lt;="&amp;F$90,of_end,"&gt;="&amp;F$90))</f>
        <v/>
      </c>
      <c r="G104" s="91" t="str">
        <f>IF($A104="","",SUMIFS(of_hpd,of_poste,$A104,of_start,"&lt;="&amp;G$90,of_end,"&gt;="&amp;G$90))</f>
        <v/>
      </c>
      <c r="H104" s="91" t="str">
        <f>IF($A104="","",SUMIFS(of_hpd,of_poste,$A104,of_start,"&lt;="&amp;H$90,of_end,"&gt;="&amp;H$90))</f>
        <v/>
      </c>
      <c r="I104" s="91" t="str">
        <f>IF($A104="","",SUMIFS(of_hpd,of_poste,$A104,of_start,"&lt;="&amp;I$90,of_end,"&gt;="&amp;I$90))</f>
        <v/>
      </c>
      <c r="J104" s="91" t="str">
        <f>IF($A104="","",SUMIFS(of_hpd,of_poste,$A104,of_start,"&lt;="&amp;J$90,of_end,"&gt;="&amp;J$90))</f>
        <v/>
      </c>
      <c r="K104" s="91" t="str">
        <f>IF($A104="","",SUMIFS(of_hpd,of_poste,$A104,of_start,"&lt;="&amp;K$90,of_end,"&gt;="&amp;K$90))</f>
        <v/>
      </c>
      <c r="L104" s="91" t="str">
        <f>IF($A104="","",SUMIFS(of_hpd,of_poste,$A104,of_start,"&lt;="&amp;L$90,of_end,"&gt;="&amp;L$90))</f>
        <v/>
      </c>
      <c r="M104" s="91" t="str">
        <f>IF($A104="","",SUMIFS(of_hpd,of_poste,$A104,of_start,"&lt;="&amp;M$90,of_end,"&gt;="&amp;M$90))</f>
        <v/>
      </c>
      <c r="N104" s="91" t="str">
        <f>IF($A104="","",SUMIFS(of_hpd,of_poste,$A104,of_start,"&lt;="&amp;N$90,of_end,"&gt;="&amp;N$90))</f>
        <v/>
      </c>
      <c r="O104" s="91" t="str">
        <f>IF($A104="","",SUMIFS(of_hpd,of_poste,$A104,of_start,"&lt;="&amp;O$90,of_end,"&gt;="&amp;O$90))</f>
        <v/>
      </c>
      <c r="P104" s="91" t="str">
        <f>IF($A104="","",SUMIFS(of_hpd,of_poste,$A104,of_start,"&lt;="&amp;P$90,of_end,"&gt;="&amp;P$90))</f>
        <v/>
      </c>
      <c r="Q104" s="91" t="str">
        <f>IF($A104="","",SUMIFS(of_hpd,of_poste,$A104,of_start,"&lt;="&amp;Q$90,of_end,"&gt;="&amp;Q$90))</f>
        <v/>
      </c>
      <c r="R104" s="91" t="str">
        <f>IF($A104="","",SUMIFS(of_hpd,of_poste,$A104,of_start,"&lt;="&amp;R$90,of_end,"&gt;="&amp;R$90))</f>
        <v/>
      </c>
      <c r="S104" s="91" t="str">
        <f>IF($A104="","",SUMIFS(of_hpd,of_poste,$A104,of_start,"&lt;="&amp;S$90,of_end,"&gt;="&amp;S$90))</f>
        <v/>
      </c>
      <c r="T104" s="91" t="str">
        <f>IF($A104="","",SUMIFS(of_hpd,of_poste,$A104,of_start,"&lt;="&amp;T$90,of_end,"&gt;="&amp;T$90))</f>
        <v/>
      </c>
      <c r="U104" s="91" t="str">
        <f>IF($A104="","",SUMIFS(of_hpd,of_poste,$A104,of_start,"&lt;="&amp;U$90,of_end,"&gt;="&amp;U$90))</f>
        <v/>
      </c>
      <c r="V104" s="91" t="str">
        <f>IF($A104="","",SUMIFS(of_hpd,of_poste,$A104,of_start,"&lt;="&amp;V$90,of_end,"&gt;="&amp;V$90))</f>
        <v/>
      </c>
      <c r="W104" s="91" t="str">
        <f>IF($A104="","",SUMIFS(of_hpd,of_poste,$A104,of_start,"&lt;="&amp;W$90,of_end,"&gt;="&amp;W$90))</f>
        <v/>
      </c>
      <c r="X104" s="91" t="str">
        <f>IF($A104="","",SUMIFS(of_hpd,of_poste,$A104,of_start,"&lt;="&amp;X$90,of_end,"&gt;="&amp;X$90))</f>
        <v/>
      </c>
      <c r="Y104" s="91" t="str">
        <f>IF($A104="","",SUMIFS(of_hpd,of_poste,$A104,of_start,"&lt;="&amp;Y$90,of_end,"&gt;="&amp;Y$90))</f>
        <v/>
      </c>
      <c r="Z104" s="91" t="str">
        <f>IF($A104="","",SUMIFS(of_hpd,of_poste,$A104,of_start,"&lt;="&amp;Z$90,of_end,"&gt;="&amp;Z$90))</f>
        <v/>
      </c>
      <c r="AA104" s="91" t="str">
        <f>IF($A104="","",SUMIFS(of_hpd,of_poste,$A104,of_start,"&lt;="&amp;AA$90,of_end,"&gt;="&amp;AA$90))</f>
        <v/>
      </c>
      <c r="AB104" s="91" t="str">
        <f>IF($A104="","",SUMIFS(of_hpd,of_poste,$A104,of_start,"&lt;="&amp;AB$90,of_end,"&gt;="&amp;AB$90))</f>
        <v/>
      </c>
      <c r="AC104" s="91" t="str">
        <f>IF($A104="","",SUMIFS(of_hpd,of_poste,$A104,of_start,"&lt;="&amp;AC$90,of_end,"&gt;="&amp;AC$90))</f>
        <v/>
      </c>
      <c r="AD104" s="91" t="str">
        <f>IF($A104="","",SUMIFS(of_hpd,of_poste,$A104,of_start,"&lt;="&amp;AD$90,of_end,"&gt;="&amp;AD$90))</f>
        <v/>
      </c>
      <c r="AE104" s="91" t="str">
        <f>IF($A104="","",SUMIFS(of_hpd,of_poste,$A104,of_start,"&lt;="&amp;AE$90,of_end,"&gt;="&amp;AE$90))</f>
        <v/>
      </c>
      <c r="AF104" s="91" t="str">
        <f>IF($A104="","",SUMIFS(of_hpd,of_poste,$A104,of_start,"&lt;="&amp;AF$90,of_end,"&gt;="&amp;AF$90))</f>
        <v/>
      </c>
      <c r="AG104" s="91" t="str">
        <f>IF($A104="","",SUMIFS(of_hpd,of_poste,$A104,of_start,"&lt;="&amp;AG$90,of_end,"&gt;="&amp;AG$90))</f>
        <v/>
      </c>
      <c r="AH104" s="91" t="str">
        <f>IF($A104="","",SUMIFS(of_hpd,of_poste,$A104,of_start,"&lt;="&amp;AH$90,of_end,"&gt;="&amp;AH$90))</f>
        <v/>
      </c>
      <c r="AI104" s="91" t="str">
        <f>IF($A104="","",SUMIFS(of_hpd,of_poste,$A104,of_start,"&lt;="&amp;AI$90,of_end,"&gt;="&amp;AI$90))</f>
        <v/>
      </c>
      <c r="AJ104" s="91" t="str">
        <f>IF($A104="","",SUMIFS(of_hpd,of_poste,$A104,of_start,"&lt;="&amp;AJ$90,of_end,"&gt;="&amp;AJ$90))</f>
        <v/>
      </c>
      <c r="AK104" s="91" t="str">
        <f>IF($A104="","",SUMIFS(of_hpd,of_poste,$A104,of_start,"&lt;="&amp;AK$90,of_end,"&gt;="&amp;AK$90))</f>
        <v/>
      </c>
      <c r="AL104" s="91" t="str">
        <f>IF($A104="","",SUMIFS(of_hpd,of_poste,$A104,of_start,"&lt;="&amp;AL$90,of_end,"&gt;="&amp;AL$90))</f>
        <v/>
      </c>
      <c r="AM104" s="91" t="str">
        <f>IF($A104="","",SUMIFS(of_hpd,of_poste,$A104,of_start,"&lt;="&amp;AM$90,of_end,"&gt;="&amp;AM$90))</f>
        <v/>
      </c>
      <c r="AN104" s="91" t="str">
        <f>IF($A104="","",SUMIFS(of_hpd,of_poste,$A104,of_start,"&lt;="&amp;AN$90,of_end,"&gt;="&amp;AN$90))</f>
        <v/>
      </c>
      <c r="AO104" s="91" t="str">
        <f>IF($A104="","",SUMIFS(of_hpd,of_poste,$A104,of_start,"&lt;="&amp;AO$90,of_end,"&gt;="&amp;AO$90))</f>
        <v/>
      </c>
      <c r="AP104" s="91" t="str">
        <f>IF($A104="","",SUMIFS(of_hpd,of_poste,$A104,of_start,"&lt;="&amp;AP$90,of_end,"&gt;="&amp;AP$90))</f>
        <v/>
      </c>
      <c r="AQ104" s="91" t="str">
        <f>IF($A104="","",SUMIFS(of_hpd,of_poste,$A104,of_start,"&lt;="&amp;AQ$90,of_end,"&gt;="&amp;AQ$90))</f>
        <v/>
      </c>
      <c r="AR104" s="91" t="str">
        <f>IF($A104="","",SUMIFS(of_hpd,of_poste,$A104,of_start,"&lt;="&amp;AR$90,of_end,"&gt;="&amp;AR$90))</f>
        <v/>
      </c>
      <c r="AS104" s="91" t="str">
        <f>IF($A104="","",SUMIFS(of_hpd,of_poste,$A104,of_start,"&lt;="&amp;AS$90,of_end,"&gt;="&amp;AS$90))</f>
        <v/>
      </c>
      <c r="AT104" s="91" t="str">
        <f>IF($A104="","",SUMIFS(of_hpd,of_poste,$A104,of_start,"&lt;="&amp;AT$90,of_end,"&gt;="&amp;AT$90))</f>
        <v/>
      </c>
      <c r="AU104" s="91" t="str">
        <f>IF($A104="","",SUMIFS(of_hpd,of_poste,$A104,of_start,"&lt;="&amp;AU$90,of_end,"&gt;="&amp;AU$90))</f>
        <v/>
      </c>
      <c r="AV104" s="91" t="str">
        <f>IF($A104="","",SUMIFS(of_hpd,of_poste,$A104,of_start,"&lt;="&amp;AV$90,of_end,"&gt;="&amp;AV$90))</f>
        <v/>
      </c>
      <c r="AW104" s="91" t="str">
        <f>IF($A104="","",SUMIFS(of_hpd,of_poste,$A104,of_start,"&lt;="&amp;AW$90,of_end,"&gt;="&amp;AW$90))</f>
        <v/>
      </c>
      <c r="AX104" s="91" t="str">
        <f>IF($A104="","",SUMIFS(of_hpd,of_poste,$A104,of_start,"&lt;="&amp;AX$90,of_end,"&gt;="&amp;AX$90))</f>
        <v/>
      </c>
      <c r="AY104" s="91" t="str">
        <f>IF($A104="","",SUMIFS(of_hpd,of_poste,$A104,of_start,"&lt;="&amp;AY$90,of_end,"&gt;="&amp;AY$90))</f>
        <v/>
      </c>
      <c r="AZ104" s="91" t="str">
        <f>IF($A104="","",SUMIFS(of_hpd,of_poste,$A104,of_start,"&lt;="&amp;AZ$90,of_end,"&gt;="&amp;AZ$90))</f>
        <v/>
      </c>
      <c r="BA104" s="91" t="str">
        <f>IF($A104="","",SUMIFS(of_hpd,of_poste,$A104,of_start,"&lt;="&amp;BA$90,of_end,"&gt;="&amp;BA$90))</f>
        <v/>
      </c>
      <c r="BB104" s="91" t="str">
        <f>IF($A104="","",SUMIFS(of_hpd,of_poste,$A104,of_start,"&lt;="&amp;BB$90,of_end,"&gt;="&amp;BB$90))</f>
        <v/>
      </c>
      <c r="BC104" s="91" t="str">
        <f>IF($A104="","",SUMIFS(of_hpd,of_poste,$A104,of_start,"&lt;="&amp;BC$90,of_end,"&gt;="&amp;BC$90))</f>
        <v/>
      </c>
      <c r="BD104" s="91" t="str">
        <f>IF($A104="","",SUMIFS(of_hpd,of_poste,$A104,of_start,"&lt;="&amp;BD$90,of_end,"&gt;="&amp;BD$90))</f>
        <v/>
      </c>
      <c r="BE104" s="91" t="str">
        <f>IF($A104="","",SUMIFS(of_hpd,of_poste,$A104,of_start,"&lt;="&amp;BE$90,of_end,"&gt;="&amp;BE$90))</f>
        <v/>
      </c>
      <c r="BF104" s="91" t="str">
        <f>IF($A104="","",SUMIFS(of_hpd,of_poste,$A104,of_start,"&lt;="&amp;BF$90,of_end,"&gt;="&amp;BF$90))</f>
        <v/>
      </c>
      <c r="BG104" s="91" t="str">
        <f>IF($A104="","",SUMIFS(of_hpd,of_poste,$A104,of_start,"&lt;="&amp;BG$90,of_end,"&gt;="&amp;BG$90))</f>
        <v/>
      </c>
      <c r="BH104" s="91" t="str">
        <f>IF($A104="","",SUMIFS(of_hpd,of_poste,$A104,of_start,"&lt;="&amp;BH$90,of_end,"&gt;="&amp;BH$90))</f>
        <v/>
      </c>
      <c r="BI104" s="91" t="str">
        <f>IF($A104="","",SUMIFS(of_hpd,of_poste,$A104,of_start,"&lt;="&amp;BI$90,of_end,"&gt;="&amp;BI$90))</f>
        <v/>
      </c>
      <c r="BJ104" s="91" t="str">
        <f>IF($A104="","",SUMIFS(of_hpd,of_poste,$A104,of_start,"&lt;="&amp;BJ$90,of_end,"&gt;="&amp;BJ$90))</f>
        <v/>
      </c>
      <c r="BK104" s="91" t="str">
        <f>IF($A104="","",SUMIFS(of_hpd,of_poste,$A104,of_start,"&lt;="&amp;BK$90,of_end,"&gt;="&amp;BK$90))</f>
        <v/>
      </c>
      <c r="BL104" s="91" t="str">
        <f>IF($A104="","",SUMIFS(of_hpd,of_poste,$A104,of_start,"&lt;="&amp;BL$90,of_end,"&gt;="&amp;BL$90))</f>
        <v/>
      </c>
      <c r="BM104" s="91" t="str">
        <f>IF($A104="","",SUMIFS(of_hpd,of_poste,$A104,of_start,"&lt;="&amp;BM$90,of_end,"&gt;="&amp;BM$90))</f>
        <v/>
      </c>
      <c r="BN104" s="91" t="str">
        <f>IF($A104="","",SUMIFS(of_hpd,of_poste,$A104,of_start,"&lt;="&amp;BN$90,of_end,"&gt;="&amp;BN$90))</f>
        <v/>
      </c>
      <c r="BO104" s="91" t="str">
        <f>IF($A104="","",SUMIFS(of_hpd,of_poste,$A104,of_start,"&lt;="&amp;BO$90,of_end,"&gt;="&amp;BO$90))</f>
        <v/>
      </c>
      <c r="BP104" s="91" t="str">
        <f>IF($A104="","",SUMIFS(of_hpd,of_poste,$A104,of_start,"&lt;="&amp;BP$90,of_end,"&gt;="&amp;BP$90))</f>
        <v/>
      </c>
      <c r="BQ104" s="91" t="str">
        <f>IF($A104="","",SUMIFS(of_hpd,of_poste,$A104,of_start,"&lt;="&amp;BQ$90,of_end,"&gt;="&amp;BQ$90))</f>
        <v/>
      </c>
      <c r="BR104" s="91" t="str">
        <f>IF($A104="","",SUMIFS(of_hpd,of_poste,$A104,of_start,"&lt;="&amp;BR$90,of_end,"&gt;="&amp;BR$90))</f>
        <v/>
      </c>
      <c r="BS104" s="91" t="str">
        <f>IF($A104="","",SUMIFS(of_hpd,of_poste,$A104,of_start,"&lt;="&amp;BS$90,of_end,"&gt;="&amp;BS$90))</f>
        <v/>
      </c>
      <c r="BT104" s="91" t="str">
        <f>IF($A104="","",SUMIFS(of_hpd,of_poste,$A104,of_start,"&lt;="&amp;BT$90,of_end,"&gt;="&amp;BT$90))</f>
        <v/>
      </c>
      <c r="BU104" s="91" t="str">
        <f>IF($A104="","",SUMIFS(of_hpd,of_poste,$A104,of_start,"&lt;="&amp;BU$90,of_end,"&gt;="&amp;BU$90))</f>
        <v/>
      </c>
      <c r="BV104" s="91" t="str">
        <f>IF($A104="","",SUMIFS(of_hpd,of_poste,$A104,of_start,"&lt;="&amp;BV$90,of_end,"&gt;="&amp;BV$90))</f>
        <v/>
      </c>
    </row>
    <row r="105">
      <c r="A105" s="90" t="str">
        <f>IF(INDEX(po_code,14)="","",INDEX(po_code,14))</f>
        <v/>
      </c>
      <c r="C105" s="91" t="str">
        <f>IF($A105="","",SUMIFS(of_hpd,of_poste,$A105,of_start,"&lt;="&amp;C$90,of_end,"&gt;="&amp;C$90))</f>
        <v/>
      </c>
      <c r="D105" s="91" t="str">
        <f>IF($A105="","",SUMIFS(of_hpd,of_poste,$A105,of_start,"&lt;="&amp;D$90,of_end,"&gt;="&amp;D$90))</f>
        <v/>
      </c>
      <c r="E105" s="91" t="str">
        <f>IF($A105="","",SUMIFS(of_hpd,of_poste,$A105,of_start,"&lt;="&amp;E$90,of_end,"&gt;="&amp;E$90))</f>
        <v/>
      </c>
      <c r="F105" s="91" t="str">
        <f>IF($A105="","",SUMIFS(of_hpd,of_poste,$A105,of_start,"&lt;="&amp;F$90,of_end,"&gt;="&amp;F$90))</f>
        <v/>
      </c>
      <c r="G105" s="91" t="str">
        <f>IF($A105="","",SUMIFS(of_hpd,of_poste,$A105,of_start,"&lt;="&amp;G$90,of_end,"&gt;="&amp;G$90))</f>
        <v/>
      </c>
      <c r="H105" s="91" t="str">
        <f>IF($A105="","",SUMIFS(of_hpd,of_poste,$A105,of_start,"&lt;="&amp;H$90,of_end,"&gt;="&amp;H$90))</f>
        <v/>
      </c>
      <c r="I105" s="91" t="str">
        <f>IF($A105="","",SUMIFS(of_hpd,of_poste,$A105,of_start,"&lt;="&amp;I$90,of_end,"&gt;="&amp;I$90))</f>
        <v/>
      </c>
      <c r="J105" s="91" t="str">
        <f>IF($A105="","",SUMIFS(of_hpd,of_poste,$A105,of_start,"&lt;="&amp;J$90,of_end,"&gt;="&amp;J$90))</f>
        <v/>
      </c>
      <c r="K105" s="91" t="str">
        <f>IF($A105="","",SUMIFS(of_hpd,of_poste,$A105,of_start,"&lt;="&amp;K$90,of_end,"&gt;="&amp;K$90))</f>
        <v/>
      </c>
      <c r="L105" s="91" t="str">
        <f>IF($A105="","",SUMIFS(of_hpd,of_poste,$A105,of_start,"&lt;="&amp;L$90,of_end,"&gt;="&amp;L$90))</f>
        <v/>
      </c>
      <c r="M105" s="91" t="str">
        <f>IF($A105="","",SUMIFS(of_hpd,of_poste,$A105,of_start,"&lt;="&amp;M$90,of_end,"&gt;="&amp;M$90))</f>
        <v/>
      </c>
      <c r="N105" s="91" t="str">
        <f>IF($A105="","",SUMIFS(of_hpd,of_poste,$A105,of_start,"&lt;="&amp;N$90,of_end,"&gt;="&amp;N$90))</f>
        <v/>
      </c>
      <c r="O105" s="91" t="str">
        <f>IF($A105="","",SUMIFS(of_hpd,of_poste,$A105,of_start,"&lt;="&amp;O$90,of_end,"&gt;="&amp;O$90))</f>
        <v/>
      </c>
      <c r="P105" s="91" t="str">
        <f>IF($A105="","",SUMIFS(of_hpd,of_poste,$A105,of_start,"&lt;="&amp;P$90,of_end,"&gt;="&amp;P$90))</f>
        <v/>
      </c>
      <c r="Q105" s="91" t="str">
        <f>IF($A105="","",SUMIFS(of_hpd,of_poste,$A105,of_start,"&lt;="&amp;Q$90,of_end,"&gt;="&amp;Q$90))</f>
        <v/>
      </c>
      <c r="R105" s="91" t="str">
        <f>IF($A105="","",SUMIFS(of_hpd,of_poste,$A105,of_start,"&lt;="&amp;R$90,of_end,"&gt;="&amp;R$90))</f>
        <v/>
      </c>
      <c r="S105" s="91" t="str">
        <f>IF($A105="","",SUMIFS(of_hpd,of_poste,$A105,of_start,"&lt;="&amp;S$90,of_end,"&gt;="&amp;S$90))</f>
        <v/>
      </c>
      <c r="T105" s="91" t="str">
        <f>IF($A105="","",SUMIFS(of_hpd,of_poste,$A105,of_start,"&lt;="&amp;T$90,of_end,"&gt;="&amp;T$90))</f>
        <v/>
      </c>
      <c r="U105" s="91" t="str">
        <f>IF($A105="","",SUMIFS(of_hpd,of_poste,$A105,of_start,"&lt;="&amp;U$90,of_end,"&gt;="&amp;U$90))</f>
        <v/>
      </c>
      <c r="V105" s="91" t="str">
        <f>IF($A105="","",SUMIFS(of_hpd,of_poste,$A105,of_start,"&lt;="&amp;V$90,of_end,"&gt;="&amp;V$90))</f>
        <v/>
      </c>
      <c r="W105" s="91" t="str">
        <f>IF($A105="","",SUMIFS(of_hpd,of_poste,$A105,of_start,"&lt;="&amp;W$90,of_end,"&gt;="&amp;W$90))</f>
        <v/>
      </c>
      <c r="X105" s="91" t="str">
        <f>IF($A105="","",SUMIFS(of_hpd,of_poste,$A105,of_start,"&lt;="&amp;X$90,of_end,"&gt;="&amp;X$90))</f>
        <v/>
      </c>
      <c r="Y105" s="91" t="str">
        <f>IF($A105="","",SUMIFS(of_hpd,of_poste,$A105,of_start,"&lt;="&amp;Y$90,of_end,"&gt;="&amp;Y$90))</f>
        <v/>
      </c>
      <c r="Z105" s="91" t="str">
        <f>IF($A105="","",SUMIFS(of_hpd,of_poste,$A105,of_start,"&lt;="&amp;Z$90,of_end,"&gt;="&amp;Z$90))</f>
        <v/>
      </c>
      <c r="AA105" s="91" t="str">
        <f>IF($A105="","",SUMIFS(of_hpd,of_poste,$A105,of_start,"&lt;="&amp;AA$90,of_end,"&gt;="&amp;AA$90))</f>
        <v/>
      </c>
      <c r="AB105" s="91" t="str">
        <f>IF($A105="","",SUMIFS(of_hpd,of_poste,$A105,of_start,"&lt;="&amp;AB$90,of_end,"&gt;="&amp;AB$90))</f>
        <v/>
      </c>
      <c r="AC105" s="91" t="str">
        <f>IF($A105="","",SUMIFS(of_hpd,of_poste,$A105,of_start,"&lt;="&amp;AC$90,of_end,"&gt;="&amp;AC$90))</f>
        <v/>
      </c>
      <c r="AD105" s="91" t="str">
        <f>IF($A105="","",SUMIFS(of_hpd,of_poste,$A105,of_start,"&lt;="&amp;AD$90,of_end,"&gt;="&amp;AD$90))</f>
        <v/>
      </c>
      <c r="AE105" s="91" t="str">
        <f>IF($A105="","",SUMIFS(of_hpd,of_poste,$A105,of_start,"&lt;="&amp;AE$90,of_end,"&gt;="&amp;AE$90))</f>
        <v/>
      </c>
      <c r="AF105" s="91" t="str">
        <f>IF($A105="","",SUMIFS(of_hpd,of_poste,$A105,of_start,"&lt;="&amp;AF$90,of_end,"&gt;="&amp;AF$90))</f>
        <v/>
      </c>
      <c r="AG105" s="91" t="str">
        <f>IF($A105="","",SUMIFS(of_hpd,of_poste,$A105,of_start,"&lt;="&amp;AG$90,of_end,"&gt;="&amp;AG$90))</f>
        <v/>
      </c>
      <c r="AH105" s="91" t="str">
        <f>IF($A105="","",SUMIFS(of_hpd,of_poste,$A105,of_start,"&lt;="&amp;AH$90,of_end,"&gt;="&amp;AH$90))</f>
        <v/>
      </c>
      <c r="AI105" s="91" t="str">
        <f>IF($A105="","",SUMIFS(of_hpd,of_poste,$A105,of_start,"&lt;="&amp;AI$90,of_end,"&gt;="&amp;AI$90))</f>
        <v/>
      </c>
      <c r="AJ105" s="91" t="str">
        <f>IF($A105="","",SUMIFS(of_hpd,of_poste,$A105,of_start,"&lt;="&amp;AJ$90,of_end,"&gt;="&amp;AJ$90))</f>
        <v/>
      </c>
      <c r="AK105" s="91" t="str">
        <f>IF($A105="","",SUMIFS(of_hpd,of_poste,$A105,of_start,"&lt;="&amp;AK$90,of_end,"&gt;="&amp;AK$90))</f>
        <v/>
      </c>
      <c r="AL105" s="91" t="str">
        <f>IF($A105="","",SUMIFS(of_hpd,of_poste,$A105,of_start,"&lt;="&amp;AL$90,of_end,"&gt;="&amp;AL$90))</f>
        <v/>
      </c>
      <c r="AM105" s="91" t="str">
        <f>IF($A105="","",SUMIFS(of_hpd,of_poste,$A105,of_start,"&lt;="&amp;AM$90,of_end,"&gt;="&amp;AM$90))</f>
        <v/>
      </c>
      <c r="AN105" s="91" t="str">
        <f>IF($A105="","",SUMIFS(of_hpd,of_poste,$A105,of_start,"&lt;="&amp;AN$90,of_end,"&gt;="&amp;AN$90))</f>
        <v/>
      </c>
      <c r="AO105" s="91" t="str">
        <f>IF($A105="","",SUMIFS(of_hpd,of_poste,$A105,of_start,"&lt;="&amp;AO$90,of_end,"&gt;="&amp;AO$90))</f>
        <v/>
      </c>
      <c r="AP105" s="91" t="str">
        <f>IF($A105="","",SUMIFS(of_hpd,of_poste,$A105,of_start,"&lt;="&amp;AP$90,of_end,"&gt;="&amp;AP$90))</f>
        <v/>
      </c>
      <c r="AQ105" s="91" t="str">
        <f>IF($A105="","",SUMIFS(of_hpd,of_poste,$A105,of_start,"&lt;="&amp;AQ$90,of_end,"&gt;="&amp;AQ$90))</f>
        <v/>
      </c>
      <c r="AR105" s="91" t="str">
        <f>IF($A105="","",SUMIFS(of_hpd,of_poste,$A105,of_start,"&lt;="&amp;AR$90,of_end,"&gt;="&amp;AR$90))</f>
        <v/>
      </c>
      <c r="AS105" s="91" t="str">
        <f>IF($A105="","",SUMIFS(of_hpd,of_poste,$A105,of_start,"&lt;="&amp;AS$90,of_end,"&gt;="&amp;AS$90))</f>
        <v/>
      </c>
      <c r="AT105" s="91" t="str">
        <f>IF($A105="","",SUMIFS(of_hpd,of_poste,$A105,of_start,"&lt;="&amp;AT$90,of_end,"&gt;="&amp;AT$90))</f>
        <v/>
      </c>
      <c r="AU105" s="91" t="str">
        <f>IF($A105="","",SUMIFS(of_hpd,of_poste,$A105,of_start,"&lt;="&amp;AU$90,of_end,"&gt;="&amp;AU$90))</f>
        <v/>
      </c>
      <c r="AV105" s="91" t="str">
        <f>IF($A105="","",SUMIFS(of_hpd,of_poste,$A105,of_start,"&lt;="&amp;AV$90,of_end,"&gt;="&amp;AV$90))</f>
        <v/>
      </c>
      <c r="AW105" s="91" t="str">
        <f>IF($A105="","",SUMIFS(of_hpd,of_poste,$A105,of_start,"&lt;="&amp;AW$90,of_end,"&gt;="&amp;AW$90))</f>
        <v/>
      </c>
      <c r="AX105" s="91" t="str">
        <f>IF($A105="","",SUMIFS(of_hpd,of_poste,$A105,of_start,"&lt;="&amp;AX$90,of_end,"&gt;="&amp;AX$90))</f>
        <v/>
      </c>
      <c r="AY105" s="91" t="str">
        <f>IF($A105="","",SUMIFS(of_hpd,of_poste,$A105,of_start,"&lt;="&amp;AY$90,of_end,"&gt;="&amp;AY$90))</f>
        <v/>
      </c>
      <c r="AZ105" s="91" t="str">
        <f>IF($A105="","",SUMIFS(of_hpd,of_poste,$A105,of_start,"&lt;="&amp;AZ$90,of_end,"&gt;="&amp;AZ$90))</f>
        <v/>
      </c>
      <c r="BA105" s="91" t="str">
        <f>IF($A105="","",SUMIFS(of_hpd,of_poste,$A105,of_start,"&lt;="&amp;BA$90,of_end,"&gt;="&amp;BA$90))</f>
        <v/>
      </c>
      <c r="BB105" s="91" t="str">
        <f>IF($A105="","",SUMIFS(of_hpd,of_poste,$A105,of_start,"&lt;="&amp;BB$90,of_end,"&gt;="&amp;BB$90))</f>
        <v/>
      </c>
      <c r="BC105" s="91" t="str">
        <f>IF($A105="","",SUMIFS(of_hpd,of_poste,$A105,of_start,"&lt;="&amp;BC$90,of_end,"&gt;="&amp;BC$90))</f>
        <v/>
      </c>
      <c r="BD105" s="91" t="str">
        <f>IF($A105="","",SUMIFS(of_hpd,of_poste,$A105,of_start,"&lt;="&amp;BD$90,of_end,"&gt;="&amp;BD$90))</f>
        <v/>
      </c>
      <c r="BE105" s="91" t="str">
        <f>IF($A105="","",SUMIFS(of_hpd,of_poste,$A105,of_start,"&lt;="&amp;BE$90,of_end,"&gt;="&amp;BE$90))</f>
        <v/>
      </c>
      <c r="BF105" s="91" t="str">
        <f>IF($A105="","",SUMIFS(of_hpd,of_poste,$A105,of_start,"&lt;="&amp;BF$90,of_end,"&gt;="&amp;BF$90))</f>
        <v/>
      </c>
      <c r="BG105" s="91" t="str">
        <f>IF($A105="","",SUMIFS(of_hpd,of_poste,$A105,of_start,"&lt;="&amp;BG$90,of_end,"&gt;="&amp;BG$90))</f>
        <v/>
      </c>
      <c r="BH105" s="91" t="str">
        <f>IF($A105="","",SUMIFS(of_hpd,of_poste,$A105,of_start,"&lt;="&amp;BH$90,of_end,"&gt;="&amp;BH$90))</f>
        <v/>
      </c>
      <c r="BI105" s="91" t="str">
        <f>IF($A105="","",SUMIFS(of_hpd,of_poste,$A105,of_start,"&lt;="&amp;BI$90,of_end,"&gt;="&amp;BI$90))</f>
        <v/>
      </c>
      <c r="BJ105" s="91" t="str">
        <f>IF($A105="","",SUMIFS(of_hpd,of_poste,$A105,of_start,"&lt;="&amp;BJ$90,of_end,"&gt;="&amp;BJ$90))</f>
        <v/>
      </c>
      <c r="BK105" s="91" t="str">
        <f>IF($A105="","",SUMIFS(of_hpd,of_poste,$A105,of_start,"&lt;="&amp;BK$90,of_end,"&gt;="&amp;BK$90))</f>
        <v/>
      </c>
      <c r="BL105" s="91" t="str">
        <f>IF($A105="","",SUMIFS(of_hpd,of_poste,$A105,of_start,"&lt;="&amp;BL$90,of_end,"&gt;="&amp;BL$90))</f>
        <v/>
      </c>
      <c r="BM105" s="91" t="str">
        <f>IF($A105="","",SUMIFS(of_hpd,of_poste,$A105,of_start,"&lt;="&amp;BM$90,of_end,"&gt;="&amp;BM$90))</f>
        <v/>
      </c>
      <c r="BN105" s="91" t="str">
        <f>IF($A105="","",SUMIFS(of_hpd,of_poste,$A105,of_start,"&lt;="&amp;BN$90,of_end,"&gt;="&amp;BN$90))</f>
        <v/>
      </c>
      <c r="BO105" s="91" t="str">
        <f>IF($A105="","",SUMIFS(of_hpd,of_poste,$A105,of_start,"&lt;="&amp;BO$90,of_end,"&gt;="&amp;BO$90))</f>
        <v/>
      </c>
      <c r="BP105" s="91" t="str">
        <f>IF($A105="","",SUMIFS(of_hpd,of_poste,$A105,of_start,"&lt;="&amp;BP$90,of_end,"&gt;="&amp;BP$90))</f>
        <v/>
      </c>
      <c r="BQ105" s="91" t="str">
        <f>IF($A105="","",SUMIFS(of_hpd,of_poste,$A105,of_start,"&lt;="&amp;BQ$90,of_end,"&gt;="&amp;BQ$90))</f>
        <v/>
      </c>
      <c r="BR105" s="91" t="str">
        <f>IF($A105="","",SUMIFS(of_hpd,of_poste,$A105,of_start,"&lt;="&amp;BR$90,of_end,"&gt;="&amp;BR$90))</f>
        <v/>
      </c>
      <c r="BS105" s="91" t="str">
        <f>IF($A105="","",SUMIFS(of_hpd,of_poste,$A105,of_start,"&lt;="&amp;BS$90,of_end,"&gt;="&amp;BS$90))</f>
        <v/>
      </c>
      <c r="BT105" s="91" t="str">
        <f>IF($A105="","",SUMIFS(of_hpd,of_poste,$A105,of_start,"&lt;="&amp;BT$90,of_end,"&gt;="&amp;BT$90))</f>
        <v/>
      </c>
      <c r="BU105" s="91" t="str">
        <f>IF($A105="","",SUMIFS(of_hpd,of_poste,$A105,of_start,"&lt;="&amp;BU$90,of_end,"&gt;="&amp;BU$90))</f>
        <v/>
      </c>
      <c r="BV105" s="91" t="str">
        <f>IF($A105="","",SUMIFS(of_hpd,of_poste,$A105,of_start,"&lt;="&amp;BV$90,of_end,"&gt;="&amp;BV$90))</f>
        <v/>
      </c>
    </row>
    <row r="106">
      <c r="A106" s="90" t="str">
        <f>IF(INDEX(po_code,15)="","",INDEX(po_code,15))</f>
        <v/>
      </c>
      <c r="C106" s="91" t="str">
        <f>IF($A106="","",SUMIFS(of_hpd,of_poste,$A106,of_start,"&lt;="&amp;C$90,of_end,"&gt;="&amp;C$90))</f>
        <v/>
      </c>
      <c r="D106" s="91" t="str">
        <f>IF($A106="","",SUMIFS(of_hpd,of_poste,$A106,of_start,"&lt;="&amp;D$90,of_end,"&gt;="&amp;D$90))</f>
        <v/>
      </c>
      <c r="E106" s="91" t="str">
        <f>IF($A106="","",SUMIFS(of_hpd,of_poste,$A106,of_start,"&lt;="&amp;E$90,of_end,"&gt;="&amp;E$90))</f>
        <v/>
      </c>
      <c r="F106" s="91" t="str">
        <f>IF($A106="","",SUMIFS(of_hpd,of_poste,$A106,of_start,"&lt;="&amp;F$90,of_end,"&gt;="&amp;F$90))</f>
        <v/>
      </c>
      <c r="G106" s="91" t="str">
        <f>IF($A106="","",SUMIFS(of_hpd,of_poste,$A106,of_start,"&lt;="&amp;G$90,of_end,"&gt;="&amp;G$90))</f>
        <v/>
      </c>
      <c r="H106" s="91" t="str">
        <f>IF($A106="","",SUMIFS(of_hpd,of_poste,$A106,of_start,"&lt;="&amp;H$90,of_end,"&gt;="&amp;H$90))</f>
        <v/>
      </c>
      <c r="I106" s="91" t="str">
        <f>IF($A106="","",SUMIFS(of_hpd,of_poste,$A106,of_start,"&lt;="&amp;I$90,of_end,"&gt;="&amp;I$90))</f>
        <v/>
      </c>
      <c r="J106" s="91" t="str">
        <f>IF($A106="","",SUMIFS(of_hpd,of_poste,$A106,of_start,"&lt;="&amp;J$90,of_end,"&gt;="&amp;J$90))</f>
        <v/>
      </c>
      <c r="K106" s="91" t="str">
        <f>IF($A106="","",SUMIFS(of_hpd,of_poste,$A106,of_start,"&lt;="&amp;K$90,of_end,"&gt;="&amp;K$90))</f>
        <v/>
      </c>
      <c r="L106" s="91" t="str">
        <f>IF($A106="","",SUMIFS(of_hpd,of_poste,$A106,of_start,"&lt;="&amp;L$90,of_end,"&gt;="&amp;L$90))</f>
        <v/>
      </c>
      <c r="M106" s="91" t="str">
        <f>IF($A106="","",SUMIFS(of_hpd,of_poste,$A106,of_start,"&lt;="&amp;M$90,of_end,"&gt;="&amp;M$90))</f>
        <v/>
      </c>
      <c r="N106" s="91" t="str">
        <f>IF($A106="","",SUMIFS(of_hpd,of_poste,$A106,of_start,"&lt;="&amp;N$90,of_end,"&gt;="&amp;N$90))</f>
        <v/>
      </c>
      <c r="O106" s="91" t="str">
        <f>IF($A106="","",SUMIFS(of_hpd,of_poste,$A106,of_start,"&lt;="&amp;O$90,of_end,"&gt;="&amp;O$90))</f>
        <v/>
      </c>
      <c r="P106" s="91" t="str">
        <f>IF($A106="","",SUMIFS(of_hpd,of_poste,$A106,of_start,"&lt;="&amp;P$90,of_end,"&gt;="&amp;P$90))</f>
        <v/>
      </c>
      <c r="Q106" s="91" t="str">
        <f>IF($A106="","",SUMIFS(of_hpd,of_poste,$A106,of_start,"&lt;="&amp;Q$90,of_end,"&gt;="&amp;Q$90))</f>
        <v/>
      </c>
      <c r="R106" s="91" t="str">
        <f>IF($A106="","",SUMIFS(of_hpd,of_poste,$A106,of_start,"&lt;="&amp;R$90,of_end,"&gt;="&amp;R$90))</f>
        <v/>
      </c>
      <c r="S106" s="91" t="str">
        <f>IF($A106="","",SUMIFS(of_hpd,of_poste,$A106,of_start,"&lt;="&amp;S$90,of_end,"&gt;="&amp;S$90))</f>
        <v/>
      </c>
      <c r="T106" s="91" t="str">
        <f>IF($A106="","",SUMIFS(of_hpd,of_poste,$A106,of_start,"&lt;="&amp;T$90,of_end,"&gt;="&amp;T$90))</f>
        <v/>
      </c>
      <c r="U106" s="91" t="str">
        <f>IF($A106="","",SUMIFS(of_hpd,of_poste,$A106,of_start,"&lt;="&amp;U$90,of_end,"&gt;="&amp;U$90))</f>
        <v/>
      </c>
      <c r="V106" s="91" t="str">
        <f>IF($A106="","",SUMIFS(of_hpd,of_poste,$A106,of_start,"&lt;="&amp;V$90,of_end,"&gt;="&amp;V$90))</f>
        <v/>
      </c>
      <c r="W106" s="91" t="str">
        <f>IF($A106="","",SUMIFS(of_hpd,of_poste,$A106,of_start,"&lt;="&amp;W$90,of_end,"&gt;="&amp;W$90))</f>
        <v/>
      </c>
      <c r="X106" s="91" t="str">
        <f>IF($A106="","",SUMIFS(of_hpd,of_poste,$A106,of_start,"&lt;="&amp;X$90,of_end,"&gt;="&amp;X$90))</f>
        <v/>
      </c>
      <c r="Y106" s="91" t="str">
        <f>IF($A106="","",SUMIFS(of_hpd,of_poste,$A106,of_start,"&lt;="&amp;Y$90,of_end,"&gt;="&amp;Y$90))</f>
        <v/>
      </c>
      <c r="Z106" s="91" t="str">
        <f>IF($A106="","",SUMIFS(of_hpd,of_poste,$A106,of_start,"&lt;="&amp;Z$90,of_end,"&gt;="&amp;Z$90))</f>
        <v/>
      </c>
      <c r="AA106" s="91" t="str">
        <f>IF($A106="","",SUMIFS(of_hpd,of_poste,$A106,of_start,"&lt;="&amp;AA$90,of_end,"&gt;="&amp;AA$90))</f>
        <v/>
      </c>
      <c r="AB106" s="91" t="str">
        <f>IF($A106="","",SUMIFS(of_hpd,of_poste,$A106,of_start,"&lt;="&amp;AB$90,of_end,"&gt;="&amp;AB$90))</f>
        <v/>
      </c>
      <c r="AC106" s="91" t="str">
        <f>IF($A106="","",SUMIFS(of_hpd,of_poste,$A106,of_start,"&lt;="&amp;AC$90,of_end,"&gt;="&amp;AC$90))</f>
        <v/>
      </c>
      <c r="AD106" s="91" t="str">
        <f>IF($A106="","",SUMIFS(of_hpd,of_poste,$A106,of_start,"&lt;="&amp;AD$90,of_end,"&gt;="&amp;AD$90))</f>
        <v/>
      </c>
      <c r="AE106" s="91" t="str">
        <f>IF($A106="","",SUMIFS(of_hpd,of_poste,$A106,of_start,"&lt;="&amp;AE$90,of_end,"&gt;="&amp;AE$90))</f>
        <v/>
      </c>
      <c r="AF106" s="91" t="str">
        <f>IF($A106="","",SUMIFS(of_hpd,of_poste,$A106,of_start,"&lt;="&amp;AF$90,of_end,"&gt;="&amp;AF$90))</f>
        <v/>
      </c>
      <c r="AG106" s="91" t="str">
        <f>IF($A106="","",SUMIFS(of_hpd,of_poste,$A106,of_start,"&lt;="&amp;AG$90,of_end,"&gt;="&amp;AG$90))</f>
        <v/>
      </c>
      <c r="AH106" s="91" t="str">
        <f>IF($A106="","",SUMIFS(of_hpd,of_poste,$A106,of_start,"&lt;="&amp;AH$90,of_end,"&gt;="&amp;AH$90))</f>
        <v/>
      </c>
      <c r="AI106" s="91" t="str">
        <f>IF($A106="","",SUMIFS(of_hpd,of_poste,$A106,of_start,"&lt;="&amp;AI$90,of_end,"&gt;="&amp;AI$90))</f>
        <v/>
      </c>
      <c r="AJ106" s="91" t="str">
        <f>IF($A106="","",SUMIFS(of_hpd,of_poste,$A106,of_start,"&lt;="&amp;AJ$90,of_end,"&gt;="&amp;AJ$90))</f>
        <v/>
      </c>
      <c r="AK106" s="91" t="str">
        <f>IF($A106="","",SUMIFS(of_hpd,of_poste,$A106,of_start,"&lt;="&amp;AK$90,of_end,"&gt;="&amp;AK$90))</f>
        <v/>
      </c>
      <c r="AL106" s="91" t="str">
        <f>IF($A106="","",SUMIFS(of_hpd,of_poste,$A106,of_start,"&lt;="&amp;AL$90,of_end,"&gt;="&amp;AL$90))</f>
        <v/>
      </c>
      <c r="AM106" s="91" t="str">
        <f>IF($A106="","",SUMIFS(of_hpd,of_poste,$A106,of_start,"&lt;="&amp;AM$90,of_end,"&gt;="&amp;AM$90))</f>
        <v/>
      </c>
      <c r="AN106" s="91" t="str">
        <f>IF($A106="","",SUMIFS(of_hpd,of_poste,$A106,of_start,"&lt;="&amp;AN$90,of_end,"&gt;="&amp;AN$90))</f>
        <v/>
      </c>
      <c r="AO106" s="91" t="str">
        <f>IF($A106="","",SUMIFS(of_hpd,of_poste,$A106,of_start,"&lt;="&amp;AO$90,of_end,"&gt;="&amp;AO$90))</f>
        <v/>
      </c>
      <c r="AP106" s="91" t="str">
        <f>IF($A106="","",SUMIFS(of_hpd,of_poste,$A106,of_start,"&lt;="&amp;AP$90,of_end,"&gt;="&amp;AP$90))</f>
        <v/>
      </c>
      <c r="AQ106" s="91" t="str">
        <f>IF($A106="","",SUMIFS(of_hpd,of_poste,$A106,of_start,"&lt;="&amp;AQ$90,of_end,"&gt;="&amp;AQ$90))</f>
        <v/>
      </c>
      <c r="AR106" s="91" t="str">
        <f>IF($A106="","",SUMIFS(of_hpd,of_poste,$A106,of_start,"&lt;="&amp;AR$90,of_end,"&gt;="&amp;AR$90))</f>
        <v/>
      </c>
      <c r="AS106" s="91" t="str">
        <f>IF($A106="","",SUMIFS(of_hpd,of_poste,$A106,of_start,"&lt;="&amp;AS$90,of_end,"&gt;="&amp;AS$90))</f>
        <v/>
      </c>
      <c r="AT106" s="91" t="str">
        <f>IF($A106="","",SUMIFS(of_hpd,of_poste,$A106,of_start,"&lt;="&amp;AT$90,of_end,"&gt;="&amp;AT$90))</f>
        <v/>
      </c>
      <c r="AU106" s="91" t="str">
        <f>IF($A106="","",SUMIFS(of_hpd,of_poste,$A106,of_start,"&lt;="&amp;AU$90,of_end,"&gt;="&amp;AU$90))</f>
        <v/>
      </c>
      <c r="AV106" s="91" t="str">
        <f>IF($A106="","",SUMIFS(of_hpd,of_poste,$A106,of_start,"&lt;="&amp;AV$90,of_end,"&gt;="&amp;AV$90))</f>
        <v/>
      </c>
      <c r="AW106" s="91" t="str">
        <f>IF($A106="","",SUMIFS(of_hpd,of_poste,$A106,of_start,"&lt;="&amp;AW$90,of_end,"&gt;="&amp;AW$90))</f>
        <v/>
      </c>
      <c r="AX106" s="91" t="str">
        <f>IF($A106="","",SUMIFS(of_hpd,of_poste,$A106,of_start,"&lt;="&amp;AX$90,of_end,"&gt;="&amp;AX$90))</f>
        <v/>
      </c>
      <c r="AY106" s="91" t="str">
        <f>IF($A106="","",SUMIFS(of_hpd,of_poste,$A106,of_start,"&lt;="&amp;AY$90,of_end,"&gt;="&amp;AY$90))</f>
        <v/>
      </c>
      <c r="AZ106" s="91" t="str">
        <f>IF($A106="","",SUMIFS(of_hpd,of_poste,$A106,of_start,"&lt;="&amp;AZ$90,of_end,"&gt;="&amp;AZ$90))</f>
        <v/>
      </c>
      <c r="BA106" s="91" t="str">
        <f>IF($A106="","",SUMIFS(of_hpd,of_poste,$A106,of_start,"&lt;="&amp;BA$90,of_end,"&gt;="&amp;BA$90))</f>
        <v/>
      </c>
      <c r="BB106" s="91" t="str">
        <f>IF($A106="","",SUMIFS(of_hpd,of_poste,$A106,of_start,"&lt;="&amp;BB$90,of_end,"&gt;="&amp;BB$90))</f>
        <v/>
      </c>
      <c r="BC106" s="91" t="str">
        <f>IF($A106="","",SUMIFS(of_hpd,of_poste,$A106,of_start,"&lt;="&amp;BC$90,of_end,"&gt;="&amp;BC$90))</f>
        <v/>
      </c>
      <c r="BD106" s="91" t="str">
        <f>IF($A106="","",SUMIFS(of_hpd,of_poste,$A106,of_start,"&lt;="&amp;BD$90,of_end,"&gt;="&amp;BD$90))</f>
        <v/>
      </c>
      <c r="BE106" s="91" t="str">
        <f>IF($A106="","",SUMIFS(of_hpd,of_poste,$A106,of_start,"&lt;="&amp;BE$90,of_end,"&gt;="&amp;BE$90))</f>
        <v/>
      </c>
      <c r="BF106" s="91" t="str">
        <f>IF($A106="","",SUMIFS(of_hpd,of_poste,$A106,of_start,"&lt;="&amp;BF$90,of_end,"&gt;="&amp;BF$90))</f>
        <v/>
      </c>
      <c r="BG106" s="91" t="str">
        <f>IF($A106="","",SUMIFS(of_hpd,of_poste,$A106,of_start,"&lt;="&amp;BG$90,of_end,"&gt;="&amp;BG$90))</f>
        <v/>
      </c>
      <c r="BH106" s="91" t="str">
        <f>IF($A106="","",SUMIFS(of_hpd,of_poste,$A106,of_start,"&lt;="&amp;BH$90,of_end,"&gt;="&amp;BH$90))</f>
        <v/>
      </c>
      <c r="BI106" s="91" t="str">
        <f>IF($A106="","",SUMIFS(of_hpd,of_poste,$A106,of_start,"&lt;="&amp;BI$90,of_end,"&gt;="&amp;BI$90))</f>
        <v/>
      </c>
      <c r="BJ106" s="91" t="str">
        <f>IF($A106="","",SUMIFS(of_hpd,of_poste,$A106,of_start,"&lt;="&amp;BJ$90,of_end,"&gt;="&amp;BJ$90))</f>
        <v/>
      </c>
      <c r="BK106" s="91" t="str">
        <f>IF($A106="","",SUMIFS(of_hpd,of_poste,$A106,of_start,"&lt;="&amp;BK$90,of_end,"&gt;="&amp;BK$90))</f>
        <v/>
      </c>
      <c r="BL106" s="91" t="str">
        <f>IF($A106="","",SUMIFS(of_hpd,of_poste,$A106,of_start,"&lt;="&amp;BL$90,of_end,"&gt;="&amp;BL$90))</f>
        <v/>
      </c>
      <c r="BM106" s="91" t="str">
        <f>IF($A106="","",SUMIFS(of_hpd,of_poste,$A106,of_start,"&lt;="&amp;BM$90,of_end,"&gt;="&amp;BM$90))</f>
        <v/>
      </c>
      <c r="BN106" s="91" t="str">
        <f>IF($A106="","",SUMIFS(of_hpd,of_poste,$A106,of_start,"&lt;="&amp;BN$90,of_end,"&gt;="&amp;BN$90))</f>
        <v/>
      </c>
      <c r="BO106" s="91" t="str">
        <f>IF($A106="","",SUMIFS(of_hpd,of_poste,$A106,of_start,"&lt;="&amp;BO$90,of_end,"&gt;="&amp;BO$90))</f>
        <v/>
      </c>
      <c r="BP106" s="91" t="str">
        <f>IF($A106="","",SUMIFS(of_hpd,of_poste,$A106,of_start,"&lt;="&amp;BP$90,of_end,"&gt;="&amp;BP$90))</f>
        <v/>
      </c>
      <c r="BQ106" s="91" t="str">
        <f>IF($A106="","",SUMIFS(of_hpd,of_poste,$A106,of_start,"&lt;="&amp;BQ$90,of_end,"&gt;="&amp;BQ$90))</f>
        <v/>
      </c>
      <c r="BR106" s="91" t="str">
        <f>IF($A106="","",SUMIFS(of_hpd,of_poste,$A106,of_start,"&lt;="&amp;BR$90,of_end,"&gt;="&amp;BR$90))</f>
        <v/>
      </c>
      <c r="BS106" s="91" t="str">
        <f>IF($A106="","",SUMIFS(of_hpd,of_poste,$A106,of_start,"&lt;="&amp;BS$90,of_end,"&gt;="&amp;BS$90))</f>
        <v/>
      </c>
      <c r="BT106" s="91" t="str">
        <f>IF($A106="","",SUMIFS(of_hpd,of_poste,$A106,of_start,"&lt;="&amp;BT$90,of_end,"&gt;="&amp;BT$90))</f>
        <v/>
      </c>
      <c r="BU106" s="91" t="str">
        <f>IF($A106="","",SUMIFS(of_hpd,of_poste,$A106,of_start,"&lt;="&amp;BU$90,of_end,"&gt;="&amp;BU$90))</f>
        <v/>
      </c>
      <c r="BV106" s="91" t="str">
        <f>IF($A106="","",SUMIFS(of_hpd,of_poste,$A106,of_start,"&lt;="&amp;BV$90,of_end,"&gt;="&amp;BV$90))</f>
        <v/>
      </c>
    </row>
    <row r="107">
      <c r="A107" s="90" t="str">
        <f>IF(INDEX(po_code,16)="","",INDEX(po_code,16))</f>
        <v/>
      </c>
      <c r="C107" s="91" t="str">
        <f>IF($A107="","",SUMIFS(of_hpd,of_poste,$A107,of_start,"&lt;="&amp;C$90,of_end,"&gt;="&amp;C$90))</f>
        <v/>
      </c>
      <c r="D107" s="91" t="str">
        <f>IF($A107="","",SUMIFS(of_hpd,of_poste,$A107,of_start,"&lt;="&amp;D$90,of_end,"&gt;="&amp;D$90))</f>
        <v/>
      </c>
      <c r="E107" s="91" t="str">
        <f>IF($A107="","",SUMIFS(of_hpd,of_poste,$A107,of_start,"&lt;="&amp;E$90,of_end,"&gt;="&amp;E$90))</f>
        <v/>
      </c>
      <c r="F107" s="91" t="str">
        <f>IF($A107="","",SUMIFS(of_hpd,of_poste,$A107,of_start,"&lt;="&amp;F$90,of_end,"&gt;="&amp;F$90))</f>
        <v/>
      </c>
      <c r="G107" s="91" t="str">
        <f>IF($A107="","",SUMIFS(of_hpd,of_poste,$A107,of_start,"&lt;="&amp;G$90,of_end,"&gt;="&amp;G$90))</f>
        <v/>
      </c>
      <c r="H107" s="91" t="str">
        <f>IF($A107="","",SUMIFS(of_hpd,of_poste,$A107,of_start,"&lt;="&amp;H$90,of_end,"&gt;="&amp;H$90))</f>
        <v/>
      </c>
      <c r="I107" s="91" t="str">
        <f>IF($A107="","",SUMIFS(of_hpd,of_poste,$A107,of_start,"&lt;="&amp;I$90,of_end,"&gt;="&amp;I$90))</f>
        <v/>
      </c>
      <c r="J107" s="91" t="str">
        <f>IF($A107="","",SUMIFS(of_hpd,of_poste,$A107,of_start,"&lt;="&amp;J$90,of_end,"&gt;="&amp;J$90))</f>
        <v/>
      </c>
      <c r="K107" s="91" t="str">
        <f>IF($A107="","",SUMIFS(of_hpd,of_poste,$A107,of_start,"&lt;="&amp;K$90,of_end,"&gt;="&amp;K$90))</f>
        <v/>
      </c>
      <c r="L107" s="91" t="str">
        <f>IF($A107="","",SUMIFS(of_hpd,of_poste,$A107,of_start,"&lt;="&amp;L$90,of_end,"&gt;="&amp;L$90))</f>
        <v/>
      </c>
      <c r="M107" s="91" t="str">
        <f>IF($A107="","",SUMIFS(of_hpd,of_poste,$A107,of_start,"&lt;="&amp;M$90,of_end,"&gt;="&amp;M$90))</f>
        <v/>
      </c>
      <c r="N107" s="91" t="str">
        <f>IF($A107="","",SUMIFS(of_hpd,of_poste,$A107,of_start,"&lt;="&amp;N$90,of_end,"&gt;="&amp;N$90))</f>
        <v/>
      </c>
      <c r="O107" s="91" t="str">
        <f>IF($A107="","",SUMIFS(of_hpd,of_poste,$A107,of_start,"&lt;="&amp;O$90,of_end,"&gt;="&amp;O$90))</f>
        <v/>
      </c>
      <c r="P107" s="91" t="str">
        <f>IF($A107="","",SUMIFS(of_hpd,of_poste,$A107,of_start,"&lt;="&amp;P$90,of_end,"&gt;="&amp;P$90))</f>
        <v/>
      </c>
      <c r="Q107" s="91" t="str">
        <f>IF($A107="","",SUMIFS(of_hpd,of_poste,$A107,of_start,"&lt;="&amp;Q$90,of_end,"&gt;="&amp;Q$90))</f>
        <v/>
      </c>
      <c r="R107" s="91" t="str">
        <f>IF($A107="","",SUMIFS(of_hpd,of_poste,$A107,of_start,"&lt;="&amp;R$90,of_end,"&gt;="&amp;R$90))</f>
        <v/>
      </c>
      <c r="S107" s="91" t="str">
        <f>IF($A107="","",SUMIFS(of_hpd,of_poste,$A107,of_start,"&lt;="&amp;S$90,of_end,"&gt;="&amp;S$90))</f>
        <v/>
      </c>
      <c r="T107" s="91" t="str">
        <f>IF($A107="","",SUMIFS(of_hpd,of_poste,$A107,of_start,"&lt;="&amp;T$90,of_end,"&gt;="&amp;T$90))</f>
        <v/>
      </c>
      <c r="U107" s="91" t="str">
        <f>IF($A107="","",SUMIFS(of_hpd,of_poste,$A107,of_start,"&lt;="&amp;U$90,of_end,"&gt;="&amp;U$90))</f>
        <v/>
      </c>
      <c r="V107" s="91" t="str">
        <f>IF($A107="","",SUMIFS(of_hpd,of_poste,$A107,of_start,"&lt;="&amp;V$90,of_end,"&gt;="&amp;V$90))</f>
        <v/>
      </c>
      <c r="W107" s="91" t="str">
        <f>IF($A107="","",SUMIFS(of_hpd,of_poste,$A107,of_start,"&lt;="&amp;W$90,of_end,"&gt;="&amp;W$90))</f>
        <v/>
      </c>
      <c r="X107" s="91" t="str">
        <f>IF($A107="","",SUMIFS(of_hpd,of_poste,$A107,of_start,"&lt;="&amp;X$90,of_end,"&gt;="&amp;X$90))</f>
        <v/>
      </c>
      <c r="Y107" s="91" t="str">
        <f>IF($A107="","",SUMIFS(of_hpd,of_poste,$A107,of_start,"&lt;="&amp;Y$90,of_end,"&gt;="&amp;Y$90))</f>
        <v/>
      </c>
      <c r="Z107" s="91" t="str">
        <f>IF($A107="","",SUMIFS(of_hpd,of_poste,$A107,of_start,"&lt;="&amp;Z$90,of_end,"&gt;="&amp;Z$90))</f>
        <v/>
      </c>
      <c r="AA107" s="91" t="str">
        <f>IF($A107="","",SUMIFS(of_hpd,of_poste,$A107,of_start,"&lt;="&amp;AA$90,of_end,"&gt;="&amp;AA$90))</f>
        <v/>
      </c>
      <c r="AB107" s="91" t="str">
        <f>IF($A107="","",SUMIFS(of_hpd,of_poste,$A107,of_start,"&lt;="&amp;AB$90,of_end,"&gt;="&amp;AB$90))</f>
        <v/>
      </c>
      <c r="AC107" s="91" t="str">
        <f>IF($A107="","",SUMIFS(of_hpd,of_poste,$A107,of_start,"&lt;="&amp;AC$90,of_end,"&gt;="&amp;AC$90))</f>
        <v/>
      </c>
      <c r="AD107" s="91" t="str">
        <f>IF($A107="","",SUMIFS(of_hpd,of_poste,$A107,of_start,"&lt;="&amp;AD$90,of_end,"&gt;="&amp;AD$90))</f>
        <v/>
      </c>
      <c r="AE107" s="91" t="str">
        <f>IF($A107="","",SUMIFS(of_hpd,of_poste,$A107,of_start,"&lt;="&amp;AE$90,of_end,"&gt;="&amp;AE$90))</f>
        <v/>
      </c>
      <c r="AF107" s="91" t="str">
        <f>IF($A107="","",SUMIFS(of_hpd,of_poste,$A107,of_start,"&lt;="&amp;AF$90,of_end,"&gt;="&amp;AF$90))</f>
        <v/>
      </c>
      <c r="AG107" s="91" t="str">
        <f>IF($A107="","",SUMIFS(of_hpd,of_poste,$A107,of_start,"&lt;="&amp;AG$90,of_end,"&gt;="&amp;AG$90))</f>
        <v/>
      </c>
      <c r="AH107" s="91" t="str">
        <f>IF($A107="","",SUMIFS(of_hpd,of_poste,$A107,of_start,"&lt;="&amp;AH$90,of_end,"&gt;="&amp;AH$90))</f>
        <v/>
      </c>
      <c r="AI107" s="91" t="str">
        <f>IF($A107="","",SUMIFS(of_hpd,of_poste,$A107,of_start,"&lt;="&amp;AI$90,of_end,"&gt;="&amp;AI$90))</f>
        <v/>
      </c>
      <c r="AJ107" s="91" t="str">
        <f>IF($A107="","",SUMIFS(of_hpd,of_poste,$A107,of_start,"&lt;="&amp;AJ$90,of_end,"&gt;="&amp;AJ$90))</f>
        <v/>
      </c>
      <c r="AK107" s="91" t="str">
        <f>IF($A107="","",SUMIFS(of_hpd,of_poste,$A107,of_start,"&lt;="&amp;AK$90,of_end,"&gt;="&amp;AK$90))</f>
        <v/>
      </c>
      <c r="AL107" s="91" t="str">
        <f>IF($A107="","",SUMIFS(of_hpd,of_poste,$A107,of_start,"&lt;="&amp;AL$90,of_end,"&gt;="&amp;AL$90))</f>
        <v/>
      </c>
      <c r="AM107" s="91" t="str">
        <f>IF($A107="","",SUMIFS(of_hpd,of_poste,$A107,of_start,"&lt;="&amp;AM$90,of_end,"&gt;="&amp;AM$90))</f>
        <v/>
      </c>
      <c r="AN107" s="91" t="str">
        <f>IF($A107="","",SUMIFS(of_hpd,of_poste,$A107,of_start,"&lt;="&amp;AN$90,of_end,"&gt;="&amp;AN$90))</f>
        <v/>
      </c>
      <c r="AO107" s="91" t="str">
        <f>IF($A107="","",SUMIFS(of_hpd,of_poste,$A107,of_start,"&lt;="&amp;AO$90,of_end,"&gt;="&amp;AO$90))</f>
        <v/>
      </c>
      <c r="AP107" s="91" t="str">
        <f>IF($A107="","",SUMIFS(of_hpd,of_poste,$A107,of_start,"&lt;="&amp;AP$90,of_end,"&gt;="&amp;AP$90))</f>
        <v/>
      </c>
      <c r="AQ107" s="91" t="str">
        <f>IF($A107="","",SUMIFS(of_hpd,of_poste,$A107,of_start,"&lt;="&amp;AQ$90,of_end,"&gt;="&amp;AQ$90))</f>
        <v/>
      </c>
      <c r="AR107" s="91" t="str">
        <f>IF($A107="","",SUMIFS(of_hpd,of_poste,$A107,of_start,"&lt;="&amp;AR$90,of_end,"&gt;="&amp;AR$90))</f>
        <v/>
      </c>
      <c r="AS107" s="91" t="str">
        <f>IF($A107="","",SUMIFS(of_hpd,of_poste,$A107,of_start,"&lt;="&amp;AS$90,of_end,"&gt;="&amp;AS$90))</f>
        <v/>
      </c>
      <c r="AT107" s="91" t="str">
        <f>IF($A107="","",SUMIFS(of_hpd,of_poste,$A107,of_start,"&lt;="&amp;AT$90,of_end,"&gt;="&amp;AT$90))</f>
        <v/>
      </c>
      <c r="AU107" s="91" t="str">
        <f>IF($A107="","",SUMIFS(of_hpd,of_poste,$A107,of_start,"&lt;="&amp;AU$90,of_end,"&gt;="&amp;AU$90))</f>
        <v/>
      </c>
      <c r="AV107" s="91" t="str">
        <f>IF($A107="","",SUMIFS(of_hpd,of_poste,$A107,of_start,"&lt;="&amp;AV$90,of_end,"&gt;="&amp;AV$90))</f>
        <v/>
      </c>
      <c r="AW107" s="91" t="str">
        <f>IF($A107="","",SUMIFS(of_hpd,of_poste,$A107,of_start,"&lt;="&amp;AW$90,of_end,"&gt;="&amp;AW$90))</f>
        <v/>
      </c>
      <c r="AX107" s="91" t="str">
        <f>IF($A107="","",SUMIFS(of_hpd,of_poste,$A107,of_start,"&lt;="&amp;AX$90,of_end,"&gt;="&amp;AX$90))</f>
        <v/>
      </c>
      <c r="AY107" s="91" t="str">
        <f>IF($A107="","",SUMIFS(of_hpd,of_poste,$A107,of_start,"&lt;="&amp;AY$90,of_end,"&gt;="&amp;AY$90))</f>
        <v/>
      </c>
      <c r="AZ107" s="91" t="str">
        <f>IF($A107="","",SUMIFS(of_hpd,of_poste,$A107,of_start,"&lt;="&amp;AZ$90,of_end,"&gt;="&amp;AZ$90))</f>
        <v/>
      </c>
      <c r="BA107" s="91" t="str">
        <f>IF($A107="","",SUMIFS(of_hpd,of_poste,$A107,of_start,"&lt;="&amp;BA$90,of_end,"&gt;="&amp;BA$90))</f>
        <v/>
      </c>
      <c r="BB107" s="91" t="str">
        <f>IF($A107="","",SUMIFS(of_hpd,of_poste,$A107,of_start,"&lt;="&amp;BB$90,of_end,"&gt;="&amp;BB$90))</f>
        <v/>
      </c>
      <c r="BC107" s="91" t="str">
        <f>IF($A107="","",SUMIFS(of_hpd,of_poste,$A107,of_start,"&lt;="&amp;BC$90,of_end,"&gt;="&amp;BC$90))</f>
        <v/>
      </c>
      <c r="BD107" s="91" t="str">
        <f>IF($A107="","",SUMIFS(of_hpd,of_poste,$A107,of_start,"&lt;="&amp;BD$90,of_end,"&gt;="&amp;BD$90))</f>
        <v/>
      </c>
      <c r="BE107" s="91" t="str">
        <f>IF($A107="","",SUMIFS(of_hpd,of_poste,$A107,of_start,"&lt;="&amp;BE$90,of_end,"&gt;="&amp;BE$90))</f>
        <v/>
      </c>
      <c r="BF107" s="91" t="str">
        <f>IF($A107="","",SUMIFS(of_hpd,of_poste,$A107,of_start,"&lt;="&amp;BF$90,of_end,"&gt;="&amp;BF$90))</f>
        <v/>
      </c>
      <c r="BG107" s="91" t="str">
        <f>IF($A107="","",SUMIFS(of_hpd,of_poste,$A107,of_start,"&lt;="&amp;BG$90,of_end,"&gt;="&amp;BG$90))</f>
        <v/>
      </c>
      <c r="BH107" s="91" t="str">
        <f>IF($A107="","",SUMIFS(of_hpd,of_poste,$A107,of_start,"&lt;="&amp;BH$90,of_end,"&gt;="&amp;BH$90))</f>
        <v/>
      </c>
      <c r="BI107" s="91" t="str">
        <f>IF($A107="","",SUMIFS(of_hpd,of_poste,$A107,of_start,"&lt;="&amp;BI$90,of_end,"&gt;="&amp;BI$90))</f>
        <v/>
      </c>
      <c r="BJ107" s="91" t="str">
        <f>IF($A107="","",SUMIFS(of_hpd,of_poste,$A107,of_start,"&lt;="&amp;BJ$90,of_end,"&gt;="&amp;BJ$90))</f>
        <v/>
      </c>
      <c r="BK107" s="91" t="str">
        <f>IF($A107="","",SUMIFS(of_hpd,of_poste,$A107,of_start,"&lt;="&amp;BK$90,of_end,"&gt;="&amp;BK$90))</f>
        <v/>
      </c>
      <c r="BL107" s="91" t="str">
        <f>IF($A107="","",SUMIFS(of_hpd,of_poste,$A107,of_start,"&lt;="&amp;BL$90,of_end,"&gt;="&amp;BL$90))</f>
        <v/>
      </c>
      <c r="BM107" s="91" t="str">
        <f>IF($A107="","",SUMIFS(of_hpd,of_poste,$A107,of_start,"&lt;="&amp;BM$90,of_end,"&gt;="&amp;BM$90))</f>
        <v/>
      </c>
      <c r="BN107" s="91" t="str">
        <f>IF($A107="","",SUMIFS(of_hpd,of_poste,$A107,of_start,"&lt;="&amp;BN$90,of_end,"&gt;="&amp;BN$90))</f>
        <v/>
      </c>
      <c r="BO107" s="91" t="str">
        <f>IF($A107="","",SUMIFS(of_hpd,of_poste,$A107,of_start,"&lt;="&amp;BO$90,of_end,"&gt;="&amp;BO$90))</f>
        <v/>
      </c>
      <c r="BP107" s="91" t="str">
        <f>IF($A107="","",SUMIFS(of_hpd,of_poste,$A107,of_start,"&lt;="&amp;BP$90,of_end,"&gt;="&amp;BP$90))</f>
        <v/>
      </c>
      <c r="BQ107" s="91" t="str">
        <f>IF($A107="","",SUMIFS(of_hpd,of_poste,$A107,of_start,"&lt;="&amp;BQ$90,of_end,"&gt;="&amp;BQ$90))</f>
        <v/>
      </c>
      <c r="BR107" s="91" t="str">
        <f>IF($A107="","",SUMIFS(of_hpd,of_poste,$A107,of_start,"&lt;="&amp;BR$90,of_end,"&gt;="&amp;BR$90))</f>
        <v/>
      </c>
      <c r="BS107" s="91" t="str">
        <f>IF($A107="","",SUMIFS(of_hpd,of_poste,$A107,of_start,"&lt;="&amp;BS$90,of_end,"&gt;="&amp;BS$90))</f>
        <v/>
      </c>
      <c r="BT107" s="91" t="str">
        <f>IF($A107="","",SUMIFS(of_hpd,of_poste,$A107,of_start,"&lt;="&amp;BT$90,of_end,"&gt;="&amp;BT$90))</f>
        <v/>
      </c>
      <c r="BU107" s="91" t="str">
        <f>IF($A107="","",SUMIFS(of_hpd,of_poste,$A107,of_start,"&lt;="&amp;BU$90,of_end,"&gt;="&amp;BU$90))</f>
        <v/>
      </c>
      <c r="BV107" s="91" t="str">
        <f>IF($A107="","",SUMIFS(of_hpd,of_poste,$A107,of_start,"&lt;="&amp;BV$90,of_end,"&gt;="&amp;BV$90))</f>
        <v/>
      </c>
    </row>
    <row r="108">
      <c r="A108" s="90" t="str">
        <f>IF(INDEX(po_code,17)="","",INDEX(po_code,17))</f>
        <v/>
      </c>
      <c r="C108" s="91" t="str">
        <f>IF($A108="","",SUMIFS(of_hpd,of_poste,$A108,of_start,"&lt;="&amp;C$90,of_end,"&gt;="&amp;C$90))</f>
        <v/>
      </c>
      <c r="D108" s="91" t="str">
        <f>IF($A108="","",SUMIFS(of_hpd,of_poste,$A108,of_start,"&lt;="&amp;D$90,of_end,"&gt;="&amp;D$90))</f>
        <v/>
      </c>
      <c r="E108" s="91" t="str">
        <f>IF($A108="","",SUMIFS(of_hpd,of_poste,$A108,of_start,"&lt;="&amp;E$90,of_end,"&gt;="&amp;E$90))</f>
        <v/>
      </c>
      <c r="F108" s="91" t="str">
        <f>IF($A108="","",SUMIFS(of_hpd,of_poste,$A108,of_start,"&lt;="&amp;F$90,of_end,"&gt;="&amp;F$90))</f>
        <v/>
      </c>
      <c r="G108" s="91" t="str">
        <f>IF($A108="","",SUMIFS(of_hpd,of_poste,$A108,of_start,"&lt;="&amp;G$90,of_end,"&gt;="&amp;G$90))</f>
        <v/>
      </c>
      <c r="H108" s="91" t="str">
        <f>IF($A108="","",SUMIFS(of_hpd,of_poste,$A108,of_start,"&lt;="&amp;H$90,of_end,"&gt;="&amp;H$90))</f>
        <v/>
      </c>
      <c r="I108" s="91" t="str">
        <f>IF($A108="","",SUMIFS(of_hpd,of_poste,$A108,of_start,"&lt;="&amp;I$90,of_end,"&gt;="&amp;I$90))</f>
        <v/>
      </c>
      <c r="J108" s="91" t="str">
        <f>IF($A108="","",SUMIFS(of_hpd,of_poste,$A108,of_start,"&lt;="&amp;J$90,of_end,"&gt;="&amp;J$90))</f>
        <v/>
      </c>
      <c r="K108" s="91" t="str">
        <f>IF($A108="","",SUMIFS(of_hpd,of_poste,$A108,of_start,"&lt;="&amp;K$90,of_end,"&gt;="&amp;K$90))</f>
        <v/>
      </c>
      <c r="L108" s="91" t="str">
        <f>IF($A108="","",SUMIFS(of_hpd,of_poste,$A108,of_start,"&lt;="&amp;L$90,of_end,"&gt;="&amp;L$90))</f>
        <v/>
      </c>
      <c r="M108" s="91" t="str">
        <f>IF($A108="","",SUMIFS(of_hpd,of_poste,$A108,of_start,"&lt;="&amp;M$90,of_end,"&gt;="&amp;M$90))</f>
        <v/>
      </c>
      <c r="N108" s="91" t="str">
        <f>IF($A108="","",SUMIFS(of_hpd,of_poste,$A108,of_start,"&lt;="&amp;N$90,of_end,"&gt;="&amp;N$90))</f>
        <v/>
      </c>
      <c r="O108" s="91" t="str">
        <f>IF($A108="","",SUMIFS(of_hpd,of_poste,$A108,of_start,"&lt;="&amp;O$90,of_end,"&gt;="&amp;O$90))</f>
        <v/>
      </c>
      <c r="P108" s="91" t="str">
        <f>IF($A108="","",SUMIFS(of_hpd,of_poste,$A108,of_start,"&lt;="&amp;P$90,of_end,"&gt;="&amp;P$90))</f>
        <v/>
      </c>
      <c r="Q108" s="91" t="str">
        <f>IF($A108="","",SUMIFS(of_hpd,of_poste,$A108,of_start,"&lt;="&amp;Q$90,of_end,"&gt;="&amp;Q$90))</f>
        <v/>
      </c>
      <c r="R108" s="91" t="str">
        <f>IF($A108="","",SUMIFS(of_hpd,of_poste,$A108,of_start,"&lt;="&amp;R$90,of_end,"&gt;="&amp;R$90))</f>
        <v/>
      </c>
      <c r="S108" s="91" t="str">
        <f>IF($A108="","",SUMIFS(of_hpd,of_poste,$A108,of_start,"&lt;="&amp;S$90,of_end,"&gt;="&amp;S$90))</f>
        <v/>
      </c>
      <c r="T108" s="91" t="str">
        <f>IF($A108="","",SUMIFS(of_hpd,of_poste,$A108,of_start,"&lt;="&amp;T$90,of_end,"&gt;="&amp;T$90))</f>
        <v/>
      </c>
      <c r="U108" s="91" t="str">
        <f>IF($A108="","",SUMIFS(of_hpd,of_poste,$A108,of_start,"&lt;="&amp;U$90,of_end,"&gt;="&amp;U$90))</f>
        <v/>
      </c>
      <c r="V108" s="91" t="str">
        <f>IF($A108="","",SUMIFS(of_hpd,of_poste,$A108,of_start,"&lt;="&amp;V$90,of_end,"&gt;="&amp;V$90))</f>
        <v/>
      </c>
      <c r="W108" s="91" t="str">
        <f>IF($A108="","",SUMIFS(of_hpd,of_poste,$A108,of_start,"&lt;="&amp;W$90,of_end,"&gt;="&amp;W$90))</f>
        <v/>
      </c>
      <c r="X108" s="91" t="str">
        <f>IF($A108="","",SUMIFS(of_hpd,of_poste,$A108,of_start,"&lt;="&amp;X$90,of_end,"&gt;="&amp;X$90))</f>
        <v/>
      </c>
      <c r="Y108" s="91" t="str">
        <f>IF($A108="","",SUMIFS(of_hpd,of_poste,$A108,of_start,"&lt;="&amp;Y$90,of_end,"&gt;="&amp;Y$90))</f>
        <v/>
      </c>
      <c r="Z108" s="91" t="str">
        <f>IF($A108="","",SUMIFS(of_hpd,of_poste,$A108,of_start,"&lt;="&amp;Z$90,of_end,"&gt;="&amp;Z$90))</f>
        <v/>
      </c>
      <c r="AA108" s="91" t="str">
        <f>IF($A108="","",SUMIFS(of_hpd,of_poste,$A108,of_start,"&lt;="&amp;AA$90,of_end,"&gt;="&amp;AA$90))</f>
        <v/>
      </c>
      <c r="AB108" s="91" t="str">
        <f>IF($A108="","",SUMIFS(of_hpd,of_poste,$A108,of_start,"&lt;="&amp;AB$90,of_end,"&gt;="&amp;AB$90))</f>
        <v/>
      </c>
      <c r="AC108" s="91" t="str">
        <f>IF($A108="","",SUMIFS(of_hpd,of_poste,$A108,of_start,"&lt;="&amp;AC$90,of_end,"&gt;="&amp;AC$90))</f>
        <v/>
      </c>
      <c r="AD108" s="91" t="str">
        <f>IF($A108="","",SUMIFS(of_hpd,of_poste,$A108,of_start,"&lt;="&amp;AD$90,of_end,"&gt;="&amp;AD$90))</f>
        <v/>
      </c>
      <c r="AE108" s="91" t="str">
        <f>IF($A108="","",SUMIFS(of_hpd,of_poste,$A108,of_start,"&lt;="&amp;AE$90,of_end,"&gt;="&amp;AE$90))</f>
        <v/>
      </c>
      <c r="AF108" s="91" t="str">
        <f>IF($A108="","",SUMIFS(of_hpd,of_poste,$A108,of_start,"&lt;="&amp;AF$90,of_end,"&gt;="&amp;AF$90))</f>
        <v/>
      </c>
      <c r="AG108" s="91" t="str">
        <f>IF($A108="","",SUMIFS(of_hpd,of_poste,$A108,of_start,"&lt;="&amp;AG$90,of_end,"&gt;="&amp;AG$90))</f>
        <v/>
      </c>
      <c r="AH108" s="91" t="str">
        <f>IF($A108="","",SUMIFS(of_hpd,of_poste,$A108,of_start,"&lt;="&amp;AH$90,of_end,"&gt;="&amp;AH$90))</f>
        <v/>
      </c>
      <c r="AI108" s="91" t="str">
        <f>IF($A108="","",SUMIFS(of_hpd,of_poste,$A108,of_start,"&lt;="&amp;AI$90,of_end,"&gt;="&amp;AI$90))</f>
        <v/>
      </c>
      <c r="AJ108" s="91" t="str">
        <f>IF($A108="","",SUMIFS(of_hpd,of_poste,$A108,of_start,"&lt;="&amp;AJ$90,of_end,"&gt;="&amp;AJ$90))</f>
        <v/>
      </c>
      <c r="AK108" s="91" t="str">
        <f>IF($A108="","",SUMIFS(of_hpd,of_poste,$A108,of_start,"&lt;="&amp;AK$90,of_end,"&gt;="&amp;AK$90))</f>
        <v/>
      </c>
      <c r="AL108" s="91" t="str">
        <f>IF($A108="","",SUMIFS(of_hpd,of_poste,$A108,of_start,"&lt;="&amp;AL$90,of_end,"&gt;="&amp;AL$90))</f>
        <v/>
      </c>
      <c r="AM108" s="91" t="str">
        <f>IF($A108="","",SUMIFS(of_hpd,of_poste,$A108,of_start,"&lt;="&amp;AM$90,of_end,"&gt;="&amp;AM$90))</f>
        <v/>
      </c>
      <c r="AN108" s="91" t="str">
        <f>IF($A108="","",SUMIFS(of_hpd,of_poste,$A108,of_start,"&lt;="&amp;AN$90,of_end,"&gt;="&amp;AN$90))</f>
        <v/>
      </c>
      <c r="AO108" s="91" t="str">
        <f>IF($A108="","",SUMIFS(of_hpd,of_poste,$A108,of_start,"&lt;="&amp;AO$90,of_end,"&gt;="&amp;AO$90))</f>
        <v/>
      </c>
      <c r="AP108" s="91" t="str">
        <f>IF($A108="","",SUMIFS(of_hpd,of_poste,$A108,of_start,"&lt;="&amp;AP$90,of_end,"&gt;="&amp;AP$90))</f>
        <v/>
      </c>
      <c r="AQ108" s="91" t="str">
        <f>IF($A108="","",SUMIFS(of_hpd,of_poste,$A108,of_start,"&lt;="&amp;AQ$90,of_end,"&gt;="&amp;AQ$90))</f>
        <v/>
      </c>
      <c r="AR108" s="91" t="str">
        <f>IF($A108="","",SUMIFS(of_hpd,of_poste,$A108,of_start,"&lt;="&amp;AR$90,of_end,"&gt;="&amp;AR$90))</f>
        <v/>
      </c>
      <c r="AS108" s="91" t="str">
        <f>IF($A108="","",SUMIFS(of_hpd,of_poste,$A108,of_start,"&lt;="&amp;AS$90,of_end,"&gt;="&amp;AS$90))</f>
        <v/>
      </c>
      <c r="AT108" s="91" t="str">
        <f>IF($A108="","",SUMIFS(of_hpd,of_poste,$A108,of_start,"&lt;="&amp;AT$90,of_end,"&gt;="&amp;AT$90))</f>
        <v/>
      </c>
      <c r="AU108" s="91" t="str">
        <f>IF($A108="","",SUMIFS(of_hpd,of_poste,$A108,of_start,"&lt;="&amp;AU$90,of_end,"&gt;="&amp;AU$90))</f>
        <v/>
      </c>
      <c r="AV108" s="91" t="str">
        <f>IF($A108="","",SUMIFS(of_hpd,of_poste,$A108,of_start,"&lt;="&amp;AV$90,of_end,"&gt;="&amp;AV$90))</f>
        <v/>
      </c>
      <c r="AW108" s="91" t="str">
        <f>IF($A108="","",SUMIFS(of_hpd,of_poste,$A108,of_start,"&lt;="&amp;AW$90,of_end,"&gt;="&amp;AW$90))</f>
        <v/>
      </c>
      <c r="AX108" s="91" t="str">
        <f>IF($A108="","",SUMIFS(of_hpd,of_poste,$A108,of_start,"&lt;="&amp;AX$90,of_end,"&gt;="&amp;AX$90))</f>
        <v/>
      </c>
      <c r="AY108" s="91" t="str">
        <f>IF($A108="","",SUMIFS(of_hpd,of_poste,$A108,of_start,"&lt;="&amp;AY$90,of_end,"&gt;="&amp;AY$90))</f>
        <v/>
      </c>
      <c r="AZ108" s="91" t="str">
        <f>IF($A108="","",SUMIFS(of_hpd,of_poste,$A108,of_start,"&lt;="&amp;AZ$90,of_end,"&gt;="&amp;AZ$90))</f>
        <v/>
      </c>
      <c r="BA108" s="91" t="str">
        <f>IF($A108="","",SUMIFS(of_hpd,of_poste,$A108,of_start,"&lt;="&amp;BA$90,of_end,"&gt;="&amp;BA$90))</f>
        <v/>
      </c>
      <c r="BB108" s="91" t="str">
        <f>IF($A108="","",SUMIFS(of_hpd,of_poste,$A108,of_start,"&lt;="&amp;BB$90,of_end,"&gt;="&amp;BB$90))</f>
        <v/>
      </c>
      <c r="BC108" s="91" t="str">
        <f>IF($A108="","",SUMIFS(of_hpd,of_poste,$A108,of_start,"&lt;="&amp;BC$90,of_end,"&gt;="&amp;BC$90))</f>
        <v/>
      </c>
      <c r="BD108" s="91" t="str">
        <f>IF($A108="","",SUMIFS(of_hpd,of_poste,$A108,of_start,"&lt;="&amp;BD$90,of_end,"&gt;="&amp;BD$90))</f>
        <v/>
      </c>
      <c r="BE108" s="91" t="str">
        <f>IF($A108="","",SUMIFS(of_hpd,of_poste,$A108,of_start,"&lt;="&amp;BE$90,of_end,"&gt;="&amp;BE$90))</f>
        <v/>
      </c>
      <c r="BF108" s="91" t="str">
        <f>IF($A108="","",SUMIFS(of_hpd,of_poste,$A108,of_start,"&lt;="&amp;BF$90,of_end,"&gt;="&amp;BF$90))</f>
        <v/>
      </c>
      <c r="BG108" s="91" t="str">
        <f>IF($A108="","",SUMIFS(of_hpd,of_poste,$A108,of_start,"&lt;="&amp;BG$90,of_end,"&gt;="&amp;BG$90))</f>
        <v/>
      </c>
      <c r="BH108" s="91" t="str">
        <f>IF($A108="","",SUMIFS(of_hpd,of_poste,$A108,of_start,"&lt;="&amp;BH$90,of_end,"&gt;="&amp;BH$90))</f>
        <v/>
      </c>
      <c r="BI108" s="91" t="str">
        <f>IF($A108="","",SUMIFS(of_hpd,of_poste,$A108,of_start,"&lt;="&amp;BI$90,of_end,"&gt;="&amp;BI$90))</f>
        <v/>
      </c>
      <c r="BJ108" s="91" t="str">
        <f>IF($A108="","",SUMIFS(of_hpd,of_poste,$A108,of_start,"&lt;="&amp;BJ$90,of_end,"&gt;="&amp;BJ$90))</f>
        <v/>
      </c>
      <c r="BK108" s="91" t="str">
        <f>IF($A108="","",SUMIFS(of_hpd,of_poste,$A108,of_start,"&lt;="&amp;BK$90,of_end,"&gt;="&amp;BK$90))</f>
        <v/>
      </c>
      <c r="BL108" s="91" t="str">
        <f>IF($A108="","",SUMIFS(of_hpd,of_poste,$A108,of_start,"&lt;="&amp;BL$90,of_end,"&gt;="&amp;BL$90))</f>
        <v/>
      </c>
      <c r="BM108" s="91" t="str">
        <f>IF($A108="","",SUMIFS(of_hpd,of_poste,$A108,of_start,"&lt;="&amp;BM$90,of_end,"&gt;="&amp;BM$90))</f>
        <v/>
      </c>
      <c r="BN108" s="91" t="str">
        <f>IF($A108="","",SUMIFS(of_hpd,of_poste,$A108,of_start,"&lt;="&amp;BN$90,of_end,"&gt;="&amp;BN$90))</f>
        <v/>
      </c>
      <c r="BO108" s="91" t="str">
        <f>IF($A108="","",SUMIFS(of_hpd,of_poste,$A108,of_start,"&lt;="&amp;BO$90,of_end,"&gt;="&amp;BO$90))</f>
        <v/>
      </c>
      <c r="BP108" s="91" t="str">
        <f>IF($A108="","",SUMIFS(of_hpd,of_poste,$A108,of_start,"&lt;="&amp;BP$90,of_end,"&gt;="&amp;BP$90))</f>
        <v/>
      </c>
      <c r="BQ108" s="91" t="str">
        <f>IF($A108="","",SUMIFS(of_hpd,of_poste,$A108,of_start,"&lt;="&amp;BQ$90,of_end,"&gt;="&amp;BQ$90))</f>
        <v/>
      </c>
      <c r="BR108" s="91" t="str">
        <f>IF($A108="","",SUMIFS(of_hpd,of_poste,$A108,of_start,"&lt;="&amp;BR$90,of_end,"&gt;="&amp;BR$90))</f>
        <v/>
      </c>
      <c r="BS108" s="91" t="str">
        <f>IF($A108="","",SUMIFS(of_hpd,of_poste,$A108,of_start,"&lt;="&amp;BS$90,of_end,"&gt;="&amp;BS$90))</f>
        <v/>
      </c>
      <c r="BT108" s="91" t="str">
        <f>IF($A108="","",SUMIFS(of_hpd,of_poste,$A108,of_start,"&lt;="&amp;BT$90,of_end,"&gt;="&amp;BT$90))</f>
        <v/>
      </c>
      <c r="BU108" s="91" t="str">
        <f>IF($A108="","",SUMIFS(of_hpd,of_poste,$A108,of_start,"&lt;="&amp;BU$90,of_end,"&gt;="&amp;BU$90))</f>
        <v/>
      </c>
      <c r="BV108" s="91" t="str">
        <f>IF($A108="","",SUMIFS(of_hpd,of_poste,$A108,of_start,"&lt;="&amp;BV$90,of_end,"&gt;="&amp;BV$90))</f>
        <v/>
      </c>
    </row>
    <row r="109">
      <c r="A109" s="90" t="str">
        <f>IF(INDEX(po_code,18)="","",INDEX(po_code,18))</f>
        <v/>
      </c>
      <c r="C109" s="91" t="str">
        <f>IF($A109="","",SUMIFS(of_hpd,of_poste,$A109,of_start,"&lt;="&amp;C$90,of_end,"&gt;="&amp;C$90))</f>
        <v/>
      </c>
      <c r="D109" s="91" t="str">
        <f>IF($A109="","",SUMIFS(of_hpd,of_poste,$A109,of_start,"&lt;="&amp;D$90,of_end,"&gt;="&amp;D$90))</f>
        <v/>
      </c>
      <c r="E109" s="91" t="str">
        <f>IF($A109="","",SUMIFS(of_hpd,of_poste,$A109,of_start,"&lt;="&amp;E$90,of_end,"&gt;="&amp;E$90))</f>
        <v/>
      </c>
      <c r="F109" s="91" t="str">
        <f>IF($A109="","",SUMIFS(of_hpd,of_poste,$A109,of_start,"&lt;="&amp;F$90,of_end,"&gt;="&amp;F$90))</f>
        <v/>
      </c>
      <c r="G109" s="91" t="str">
        <f>IF($A109="","",SUMIFS(of_hpd,of_poste,$A109,of_start,"&lt;="&amp;G$90,of_end,"&gt;="&amp;G$90))</f>
        <v/>
      </c>
      <c r="H109" s="91" t="str">
        <f>IF($A109="","",SUMIFS(of_hpd,of_poste,$A109,of_start,"&lt;="&amp;H$90,of_end,"&gt;="&amp;H$90))</f>
        <v/>
      </c>
      <c r="I109" s="91" t="str">
        <f>IF($A109="","",SUMIFS(of_hpd,of_poste,$A109,of_start,"&lt;="&amp;I$90,of_end,"&gt;="&amp;I$90))</f>
        <v/>
      </c>
      <c r="J109" s="91" t="str">
        <f>IF($A109="","",SUMIFS(of_hpd,of_poste,$A109,of_start,"&lt;="&amp;J$90,of_end,"&gt;="&amp;J$90))</f>
        <v/>
      </c>
      <c r="K109" s="91" t="str">
        <f>IF($A109="","",SUMIFS(of_hpd,of_poste,$A109,of_start,"&lt;="&amp;K$90,of_end,"&gt;="&amp;K$90))</f>
        <v/>
      </c>
      <c r="L109" s="91" t="str">
        <f>IF($A109="","",SUMIFS(of_hpd,of_poste,$A109,of_start,"&lt;="&amp;L$90,of_end,"&gt;="&amp;L$90))</f>
        <v/>
      </c>
      <c r="M109" s="91" t="str">
        <f>IF($A109="","",SUMIFS(of_hpd,of_poste,$A109,of_start,"&lt;="&amp;M$90,of_end,"&gt;="&amp;M$90))</f>
        <v/>
      </c>
      <c r="N109" s="91" t="str">
        <f>IF($A109="","",SUMIFS(of_hpd,of_poste,$A109,of_start,"&lt;="&amp;N$90,of_end,"&gt;="&amp;N$90))</f>
        <v/>
      </c>
      <c r="O109" s="91" t="str">
        <f>IF($A109="","",SUMIFS(of_hpd,of_poste,$A109,of_start,"&lt;="&amp;O$90,of_end,"&gt;="&amp;O$90))</f>
        <v/>
      </c>
      <c r="P109" s="91" t="str">
        <f>IF($A109="","",SUMIFS(of_hpd,of_poste,$A109,of_start,"&lt;="&amp;P$90,of_end,"&gt;="&amp;P$90))</f>
        <v/>
      </c>
      <c r="Q109" s="91" t="str">
        <f>IF($A109="","",SUMIFS(of_hpd,of_poste,$A109,of_start,"&lt;="&amp;Q$90,of_end,"&gt;="&amp;Q$90))</f>
        <v/>
      </c>
      <c r="R109" s="91" t="str">
        <f>IF($A109="","",SUMIFS(of_hpd,of_poste,$A109,of_start,"&lt;="&amp;R$90,of_end,"&gt;="&amp;R$90))</f>
        <v/>
      </c>
      <c r="S109" s="91" t="str">
        <f>IF($A109="","",SUMIFS(of_hpd,of_poste,$A109,of_start,"&lt;="&amp;S$90,of_end,"&gt;="&amp;S$90))</f>
        <v/>
      </c>
      <c r="T109" s="91" t="str">
        <f>IF($A109="","",SUMIFS(of_hpd,of_poste,$A109,of_start,"&lt;="&amp;T$90,of_end,"&gt;="&amp;T$90))</f>
        <v/>
      </c>
      <c r="U109" s="91" t="str">
        <f>IF($A109="","",SUMIFS(of_hpd,of_poste,$A109,of_start,"&lt;="&amp;U$90,of_end,"&gt;="&amp;U$90))</f>
        <v/>
      </c>
      <c r="V109" s="91" t="str">
        <f>IF($A109="","",SUMIFS(of_hpd,of_poste,$A109,of_start,"&lt;="&amp;V$90,of_end,"&gt;="&amp;V$90))</f>
        <v/>
      </c>
      <c r="W109" s="91" t="str">
        <f>IF($A109="","",SUMIFS(of_hpd,of_poste,$A109,of_start,"&lt;="&amp;W$90,of_end,"&gt;="&amp;W$90))</f>
        <v/>
      </c>
      <c r="X109" s="91" t="str">
        <f>IF($A109="","",SUMIFS(of_hpd,of_poste,$A109,of_start,"&lt;="&amp;X$90,of_end,"&gt;="&amp;X$90))</f>
        <v/>
      </c>
      <c r="Y109" s="91" t="str">
        <f>IF($A109="","",SUMIFS(of_hpd,of_poste,$A109,of_start,"&lt;="&amp;Y$90,of_end,"&gt;="&amp;Y$90))</f>
        <v/>
      </c>
      <c r="Z109" s="91" t="str">
        <f>IF($A109="","",SUMIFS(of_hpd,of_poste,$A109,of_start,"&lt;="&amp;Z$90,of_end,"&gt;="&amp;Z$90))</f>
        <v/>
      </c>
      <c r="AA109" s="91" t="str">
        <f>IF($A109="","",SUMIFS(of_hpd,of_poste,$A109,of_start,"&lt;="&amp;AA$90,of_end,"&gt;="&amp;AA$90))</f>
        <v/>
      </c>
      <c r="AB109" s="91" t="str">
        <f>IF($A109="","",SUMIFS(of_hpd,of_poste,$A109,of_start,"&lt;="&amp;AB$90,of_end,"&gt;="&amp;AB$90))</f>
        <v/>
      </c>
      <c r="AC109" s="91" t="str">
        <f>IF($A109="","",SUMIFS(of_hpd,of_poste,$A109,of_start,"&lt;="&amp;AC$90,of_end,"&gt;="&amp;AC$90))</f>
        <v/>
      </c>
      <c r="AD109" s="91" t="str">
        <f>IF($A109="","",SUMIFS(of_hpd,of_poste,$A109,of_start,"&lt;="&amp;AD$90,of_end,"&gt;="&amp;AD$90))</f>
        <v/>
      </c>
      <c r="AE109" s="91" t="str">
        <f>IF($A109="","",SUMIFS(of_hpd,of_poste,$A109,of_start,"&lt;="&amp;AE$90,of_end,"&gt;="&amp;AE$90))</f>
        <v/>
      </c>
      <c r="AF109" s="91" t="str">
        <f>IF($A109="","",SUMIFS(of_hpd,of_poste,$A109,of_start,"&lt;="&amp;AF$90,of_end,"&gt;="&amp;AF$90))</f>
        <v/>
      </c>
      <c r="AG109" s="91" t="str">
        <f>IF($A109="","",SUMIFS(of_hpd,of_poste,$A109,of_start,"&lt;="&amp;AG$90,of_end,"&gt;="&amp;AG$90))</f>
        <v/>
      </c>
      <c r="AH109" s="91" t="str">
        <f>IF($A109="","",SUMIFS(of_hpd,of_poste,$A109,of_start,"&lt;="&amp;AH$90,of_end,"&gt;="&amp;AH$90))</f>
        <v/>
      </c>
      <c r="AI109" s="91" t="str">
        <f>IF($A109="","",SUMIFS(of_hpd,of_poste,$A109,of_start,"&lt;="&amp;AI$90,of_end,"&gt;="&amp;AI$90))</f>
        <v/>
      </c>
      <c r="AJ109" s="91" t="str">
        <f>IF($A109="","",SUMIFS(of_hpd,of_poste,$A109,of_start,"&lt;="&amp;AJ$90,of_end,"&gt;="&amp;AJ$90))</f>
        <v/>
      </c>
      <c r="AK109" s="91" t="str">
        <f>IF($A109="","",SUMIFS(of_hpd,of_poste,$A109,of_start,"&lt;="&amp;AK$90,of_end,"&gt;="&amp;AK$90))</f>
        <v/>
      </c>
      <c r="AL109" s="91" t="str">
        <f>IF($A109="","",SUMIFS(of_hpd,of_poste,$A109,of_start,"&lt;="&amp;AL$90,of_end,"&gt;="&amp;AL$90))</f>
        <v/>
      </c>
      <c r="AM109" s="91" t="str">
        <f>IF($A109="","",SUMIFS(of_hpd,of_poste,$A109,of_start,"&lt;="&amp;AM$90,of_end,"&gt;="&amp;AM$90))</f>
        <v/>
      </c>
      <c r="AN109" s="91" t="str">
        <f>IF($A109="","",SUMIFS(of_hpd,of_poste,$A109,of_start,"&lt;="&amp;AN$90,of_end,"&gt;="&amp;AN$90))</f>
        <v/>
      </c>
      <c r="AO109" s="91" t="str">
        <f>IF($A109="","",SUMIFS(of_hpd,of_poste,$A109,of_start,"&lt;="&amp;AO$90,of_end,"&gt;="&amp;AO$90))</f>
        <v/>
      </c>
      <c r="AP109" s="91" t="str">
        <f>IF($A109="","",SUMIFS(of_hpd,of_poste,$A109,of_start,"&lt;="&amp;AP$90,of_end,"&gt;="&amp;AP$90))</f>
        <v/>
      </c>
      <c r="AQ109" s="91" t="str">
        <f>IF($A109="","",SUMIFS(of_hpd,of_poste,$A109,of_start,"&lt;="&amp;AQ$90,of_end,"&gt;="&amp;AQ$90))</f>
        <v/>
      </c>
      <c r="AR109" s="91" t="str">
        <f>IF($A109="","",SUMIFS(of_hpd,of_poste,$A109,of_start,"&lt;="&amp;AR$90,of_end,"&gt;="&amp;AR$90))</f>
        <v/>
      </c>
      <c r="AS109" s="91" t="str">
        <f>IF($A109="","",SUMIFS(of_hpd,of_poste,$A109,of_start,"&lt;="&amp;AS$90,of_end,"&gt;="&amp;AS$90))</f>
        <v/>
      </c>
      <c r="AT109" s="91" t="str">
        <f>IF($A109="","",SUMIFS(of_hpd,of_poste,$A109,of_start,"&lt;="&amp;AT$90,of_end,"&gt;="&amp;AT$90))</f>
        <v/>
      </c>
      <c r="AU109" s="91" t="str">
        <f>IF($A109="","",SUMIFS(of_hpd,of_poste,$A109,of_start,"&lt;="&amp;AU$90,of_end,"&gt;="&amp;AU$90))</f>
        <v/>
      </c>
      <c r="AV109" s="91" t="str">
        <f>IF($A109="","",SUMIFS(of_hpd,of_poste,$A109,of_start,"&lt;="&amp;AV$90,of_end,"&gt;="&amp;AV$90))</f>
        <v/>
      </c>
      <c r="AW109" s="91" t="str">
        <f>IF($A109="","",SUMIFS(of_hpd,of_poste,$A109,of_start,"&lt;="&amp;AW$90,of_end,"&gt;="&amp;AW$90))</f>
        <v/>
      </c>
      <c r="AX109" s="91" t="str">
        <f>IF($A109="","",SUMIFS(of_hpd,of_poste,$A109,of_start,"&lt;="&amp;AX$90,of_end,"&gt;="&amp;AX$90))</f>
        <v/>
      </c>
      <c r="AY109" s="91" t="str">
        <f>IF($A109="","",SUMIFS(of_hpd,of_poste,$A109,of_start,"&lt;="&amp;AY$90,of_end,"&gt;="&amp;AY$90))</f>
        <v/>
      </c>
      <c r="AZ109" s="91" t="str">
        <f>IF($A109="","",SUMIFS(of_hpd,of_poste,$A109,of_start,"&lt;="&amp;AZ$90,of_end,"&gt;="&amp;AZ$90))</f>
        <v/>
      </c>
      <c r="BA109" s="91" t="str">
        <f>IF($A109="","",SUMIFS(of_hpd,of_poste,$A109,of_start,"&lt;="&amp;BA$90,of_end,"&gt;="&amp;BA$90))</f>
        <v/>
      </c>
      <c r="BB109" s="91" t="str">
        <f>IF($A109="","",SUMIFS(of_hpd,of_poste,$A109,of_start,"&lt;="&amp;BB$90,of_end,"&gt;="&amp;BB$90))</f>
        <v/>
      </c>
      <c r="BC109" s="91" t="str">
        <f>IF($A109="","",SUMIFS(of_hpd,of_poste,$A109,of_start,"&lt;="&amp;BC$90,of_end,"&gt;="&amp;BC$90))</f>
        <v/>
      </c>
      <c r="BD109" s="91" t="str">
        <f>IF($A109="","",SUMIFS(of_hpd,of_poste,$A109,of_start,"&lt;="&amp;BD$90,of_end,"&gt;="&amp;BD$90))</f>
        <v/>
      </c>
      <c r="BE109" s="91" t="str">
        <f>IF($A109="","",SUMIFS(of_hpd,of_poste,$A109,of_start,"&lt;="&amp;BE$90,of_end,"&gt;="&amp;BE$90))</f>
        <v/>
      </c>
      <c r="BF109" s="91" t="str">
        <f>IF($A109="","",SUMIFS(of_hpd,of_poste,$A109,of_start,"&lt;="&amp;BF$90,of_end,"&gt;="&amp;BF$90))</f>
        <v/>
      </c>
      <c r="BG109" s="91" t="str">
        <f>IF($A109="","",SUMIFS(of_hpd,of_poste,$A109,of_start,"&lt;="&amp;BG$90,of_end,"&gt;="&amp;BG$90))</f>
        <v/>
      </c>
      <c r="BH109" s="91" t="str">
        <f>IF($A109="","",SUMIFS(of_hpd,of_poste,$A109,of_start,"&lt;="&amp;BH$90,of_end,"&gt;="&amp;BH$90))</f>
        <v/>
      </c>
      <c r="BI109" s="91" t="str">
        <f>IF($A109="","",SUMIFS(of_hpd,of_poste,$A109,of_start,"&lt;="&amp;BI$90,of_end,"&gt;="&amp;BI$90))</f>
        <v/>
      </c>
      <c r="BJ109" s="91" t="str">
        <f>IF($A109="","",SUMIFS(of_hpd,of_poste,$A109,of_start,"&lt;="&amp;BJ$90,of_end,"&gt;="&amp;BJ$90))</f>
        <v/>
      </c>
      <c r="BK109" s="91" t="str">
        <f>IF($A109="","",SUMIFS(of_hpd,of_poste,$A109,of_start,"&lt;="&amp;BK$90,of_end,"&gt;="&amp;BK$90))</f>
        <v/>
      </c>
      <c r="BL109" s="91" t="str">
        <f>IF($A109="","",SUMIFS(of_hpd,of_poste,$A109,of_start,"&lt;="&amp;BL$90,of_end,"&gt;="&amp;BL$90))</f>
        <v/>
      </c>
      <c r="BM109" s="91" t="str">
        <f>IF($A109="","",SUMIFS(of_hpd,of_poste,$A109,of_start,"&lt;="&amp;BM$90,of_end,"&gt;="&amp;BM$90))</f>
        <v/>
      </c>
      <c r="BN109" s="91" t="str">
        <f>IF($A109="","",SUMIFS(of_hpd,of_poste,$A109,of_start,"&lt;="&amp;BN$90,of_end,"&gt;="&amp;BN$90))</f>
        <v/>
      </c>
      <c r="BO109" s="91" t="str">
        <f>IF($A109="","",SUMIFS(of_hpd,of_poste,$A109,of_start,"&lt;="&amp;BO$90,of_end,"&gt;="&amp;BO$90))</f>
        <v/>
      </c>
      <c r="BP109" s="91" t="str">
        <f>IF($A109="","",SUMIFS(of_hpd,of_poste,$A109,of_start,"&lt;="&amp;BP$90,of_end,"&gt;="&amp;BP$90))</f>
        <v/>
      </c>
      <c r="BQ109" s="91" t="str">
        <f>IF($A109="","",SUMIFS(of_hpd,of_poste,$A109,of_start,"&lt;="&amp;BQ$90,of_end,"&gt;="&amp;BQ$90))</f>
        <v/>
      </c>
      <c r="BR109" s="91" t="str">
        <f>IF($A109="","",SUMIFS(of_hpd,of_poste,$A109,of_start,"&lt;="&amp;BR$90,of_end,"&gt;="&amp;BR$90))</f>
        <v/>
      </c>
      <c r="BS109" s="91" t="str">
        <f>IF($A109="","",SUMIFS(of_hpd,of_poste,$A109,of_start,"&lt;="&amp;BS$90,of_end,"&gt;="&amp;BS$90))</f>
        <v/>
      </c>
      <c r="BT109" s="91" t="str">
        <f>IF($A109="","",SUMIFS(of_hpd,of_poste,$A109,of_start,"&lt;="&amp;BT$90,of_end,"&gt;="&amp;BT$90))</f>
        <v/>
      </c>
      <c r="BU109" s="91" t="str">
        <f>IF($A109="","",SUMIFS(of_hpd,of_poste,$A109,of_start,"&lt;="&amp;BU$90,of_end,"&gt;="&amp;BU$90))</f>
        <v/>
      </c>
      <c r="BV109" s="91" t="str">
        <f>IF($A109="","",SUMIFS(of_hpd,of_poste,$A109,of_start,"&lt;="&amp;BV$90,of_end,"&gt;="&amp;BV$90))</f>
        <v/>
      </c>
    </row>
    <row r="110">
      <c r="A110" s="90" t="str">
        <f>IF(INDEX(po_code,19)="","",INDEX(po_code,19))</f>
        <v/>
      </c>
      <c r="C110" s="91" t="str">
        <f>IF($A110="","",SUMIFS(of_hpd,of_poste,$A110,of_start,"&lt;="&amp;C$90,of_end,"&gt;="&amp;C$90))</f>
        <v/>
      </c>
      <c r="D110" s="91" t="str">
        <f>IF($A110="","",SUMIFS(of_hpd,of_poste,$A110,of_start,"&lt;="&amp;D$90,of_end,"&gt;="&amp;D$90))</f>
        <v/>
      </c>
      <c r="E110" s="91" t="str">
        <f>IF($A110="","",SUMIFS(of_hpd,of_poste,$A110,of_start,"&lt;="&amp;E$90,of_end,"&gt;="&amp;E$90))</f>
        <v/>
      </c>
      <c r="F110" s="91" t="str">
        <f>IF($A110="","",SUMIFS(of_hpd,of_poste,$A110,of_start,"&lt;="&amp;F$90,of_end,"&gt;="&amp;F$90))</f>
        <v/>
      </c>
      <c r="G110" s="91" t="str">
        <f>IF($A110="","",SUMIFS(of_hpd,of_poste,$A110,of_start,"&lt;="&amp;G$90,of_end,"&gt;="&amp;G$90))</f>
        <v/>
      </c>
      <c r="H110" s="91" t="str">
        <f>IF($A110="","",SUMIFS(of_hpd,of_poste,$A110,of_start,"&lt;="&amp;H$90,of_end,"&gt;="&amp;H$90))</f>
        <v/>
      </c>
      <c r="I110" s="91" t="str">
        <f>IF($A110="","",SUMIFS(of_hpd,of_poste,$A110,of_start,"&lt;="&amp;I$90,of_end,"&gt;="&amp;I$90))</f>
        <v/>
      </c>
      <c r="J110" s="91" t="str">
        <f>IF($A110="","",SUMIFS(of_hpd,of_poste,$A110,of_start,"&lt;="&amp;J$90,of_end,"&gt;="&amp;J$90))</f>
        <v/>
      </c>
      <c r="K110" s="91" t="str">
        <f>IF($A110="","",SUMIFS(of_hpd,of_poste,$A110,of_start,"&lt;="&amp;K$90,of_end,"&gt;="&amp;K$90))</f>
        <v/>
      </c>
      <c r="L110" s="91" t="str">
        <f>IF($A110="","",SUMIFS(of_hpd,of_poste,$A110,of_start,"&lt;="&amp;L$90,of_end,"&gt;="&amp;L$90))</f>
        <v/>
      </c>
      <c r="M110" s="91" t="str">
        <f>IF($A110="","",SUMIFS(of_hpd,of_poste,$A110,of_start,"&lt;="&amp;M$90,of_end,"&gt;="&amp;M$90))</f>
        <v/>
      </c>
      <c r="N110" s="91" t="str">
        <f>IF($A110="","",SUMIFS(of_hpd,of_poste,$A110,of_start,"&lt;="&amp;N$90,of_end,"&gt;="&amp;N$90))</f>
        <v/>
      </c>
      <c r="O110" s="91" t="str">
        <f>IF($A110="","",SUMIFS(of_hpd,of_poste,$A110,of_start,"&lt;="&amp;O$90,of_end,"&gt;="&amp;O$90))</f>
        <v/>
      </c>
      <c r="P110" s="91" t="str">
        <f>IF($A110="","",SUMIFS(of_hpd,of_poste,$A110,of_start,"&lt;="&amp;P$90,of_end,"&gt;="&amp;P$90))</f>
        <v/>
      </c>
      <c r="Q110" s="91" t="str">
        <f>IF($A110="","",SUMIFS(of_hpd,of_poste,$A110,of_start,"&lt;="&amp;Q$90,of_end,"&gt;="&amp;Q$90))</f>
        <v/>
      </c>
      <c r="R110" s="91" t="str">
        <f>IF($A110="","",SUMIFS(of_hpd,of_poste,$A110,of_start,"&lt;="&amp;R$90,of_end,"&gt;="&amp;R$90))</f>
        <v/>
      </c>
      <c r="S110" s="91" t="str">
        <f>IF($A110="","",SUMIFS(of_hpd,of_poste,$A110,of_start,"&lt;="&amp;S$90,of_end,"&gt;="&amp;S$90))</f>
        <v/>
      </c>
      <c r="T110" s="91" t="str">
        <f>IF($A110="","",SUMIFS(of_hpd,of_poste,$A110,of_start,"&lt;="&amp;T$90,of_end,"&gt;="&amp;T$90))</f>
        <v/>
      </c>
      <c r="U110" s="91" t="str">
        <f>IF($A110="","",SUMIFS(of_hpd,of_poste,$A110,of_start,"&lt;="&amp;U$90,of_end,"&gt;="&amp;U$90))</f>
        <v/>
      </c>
      <c r="V110" s="91" t="str">
        <f>IF($A110="","",SUMIFS(of_hpd,of_poste,$A110,of_start,"&lt;="&amp;V$90,of_end,"&gt;="&amp;V$90))</f>
        <v/>
      </c>
      <c r="W110" s="91" t="str">
        <f>IF($A110="","",SUMIFS(of_hpd,of_poste,$A110,of_start,"&lt;="&amp;W$90,of_end,"&gt;="&amp;W$90))</f>
        <v/>
      </c>
      <c r="X110" s="91" t="str">
        <f>IF($A110="","",SUMIFS(of_hpd,of_poste,$A110,of_start,"&lt;="&amp;X$90,of_end,"&gt;="&amp;X$90))</f>
        <v/>
      </c>
      <c r="Y110" s="91" t="str">
        <f>IF($A110="","",SUMIFS(of_hpd,of_poste,$A110,of_start,"&lt;="&amp;Y$90,of_end,"&gt;="&amp;Y$90))</f>
        <v/>
      </c>
      <c r="Z110" s="91" t="str">
        <f>IF($A110="","",SUMIFS(of_hpd,of_poste,$A110,of_start,"&lt;="&amp;Z$90,of_end,"&gt;="&amp;Z$90))</f>
        <v/>
      </c>
      <c r="AA110" s="91" t="str">
        <f>IF($A110="","",SUMIFS(of_hpd,of_poste,$A110,of_start,"&lt;="&amp;AA$90,of_end,"&gt;="&amp;AA$90))</f>
        <v/>
      </c>
      <c r="AB110" s="91" t="str">
        <f>IF($A110="","",SUMIFS(of_hpd,of_poste,$A110,of_start,"&lt;="&amp;AB$90,of_end,"&gt;="&amp;AB$90))</f>
        <v/>
      </c>
      <c r="AC110" s="91" t="str">
        <f>IF($A110="","",SUMIFS(of_hpd,of_poste,$A110,of_start,"&lt;="&amp;AC$90,of_end,"&gt;="&amp;AC$90))</f>
        <v/>
      </c>
      <c r="AD110" s="91" t="str">
        <f>IF($A110="","",SUMIFS(of_hpd,of_poste,$A110,of_start,"&lt;="&amp;AD$90,of_end,"&gt;="&amp;AD$90))</f>
        <v/>
      </c>
      <c r="AE110" s="91" t="str">
        <f>IF($A110="","",SUMIFS(of_hpd,of_poste,$A110,of_start,"&lt;="&amp;AE$90,of_end,"&gt;="&amp;AE$90))</f>
        <v/>
      </c>
      <c r="AF110" s="91" t="str">
        <f>IF($A110="","",SUMIFS(of_hpd,of_poste,$A110,of_start,"&lt;="&amp;AF$90,of_end,"&gt;="&amp;AF$90))</f>
        <v/>
      </c>
      <c r="AG110" s="91" t="str">
        <f>IF($A110="","",SUMIFS(of_hpd,of_poste,$A110,of_start,"&lt;="&amp;AG$90,of_end,"&gt;="&amp;AG$90))</f>
        <v/>
      </c>
      <c r="AH110" s="91" t="str">
        <f>IF($A110="","",SUMIFS(of_hpd,of_poste,$A110,of_start,"&lt;="&amp;AH$90,of_end,"&gt;="&amp;AH$90))</f>
        <v/>
      </c>
      <c r="AI110" s="91" t="str">
        <f>IF($A110="","",SUMIFS(of_hpd,of_poste,$A110,of_start,"&lt;="&amp;AI$90,of_end,"&gt;="&amp;AI$90))</f>
        <v/>
      </c>
      <c r="AJ110" s="91" t="str">
        <f>IF($A110="","",SUMIFS(of_hpd,of_poste,$A110,of_start,"&lt;="&amp;AJ$90,of_end,"&gt;="&amp;AJ$90))</f>
        <v/>
      </c>
      <c r="AK110" s="91" t="str">
        <f>IF($A110="","",SUMIFS(of_hpd,of_poste,$A110,of_start,"&lt;="&amp;AK$90,of_end,"&gt;="&amp;AK$90))</f>
        <v/>
      </c>
      <c r="AL110" s="91" t="str">
        <f>IF($A110="","",SUMIFS(of_hpd,of_poste,$A110,of_start,"&lt;="&amp;AL$90,of_end,"&gt;="&amp;AL$90))</f>
        <v/>
      </c>
      <c r="AM110" s="91" t="str">
        <f>IF($A110="","",SUMIFS(of_hpd,of_poste,$A110,of_start,"&lt;="&amp;AM$90,of_end,"&gt;="&amp;AM$90))</f>
        <v/>
      </c>
      <c r="AN110" s="91" t="str">
        <f>IF($A110="","",SUMIFS(of_hpd,of_poste,$A110,of_start,"&lt;="&amp;AN$90,of_end,"&gt;="&amp;AN$90))</f>
        <v/>
      </c>
      <c r="AO110" s="91" t="str">
        <f>IF($A110="","",SUMIFS(of_hpd,of_poste,$A110,of_start,"&lt;="&amp;AO$90,of_end,"&gt;="&amp;AO$90))</f>
        <v/>
      </c>
      <c r="AP110" s="91" t="str">
        <f>IF($A110="","",SUMIFS(of_hpd,of_poste,$A110,of_start,"&lt;="&amp;AP$90,of_end,"&gt;="&amp;AP$90))</f>
        <v/>
      </c>
      <c r="AQ110" s="91" t="str">
        <f>IF($A110="","",SUMIFS(of_hpd,of_poste,$A110,of_start,"&lt;="&amp;AQ$90,of_end,"&gt;="&amp;AQ$90))</f>
        <v/>
      </c>
      <c r="AR110" s="91" t="str">
        <f>IF($A110="","",SUMIFS(of_hpd,of_poste,$A110,of_start,"&lt;="&amp;AR$90,of_end,"&gt;="&amp;AR$90))</f>
        <v/>
      </c>
      <c r="AS110" s="91" t="str">
        <f>IF($A110="","",SUMIFS(of_hpd,of_poste,$A110,of_start,"&lt;="&amp;AS$90,of_end,"&gt;="&amp;AS$90))</f>
        <v/>
      </c>
      <c r="AT110" s="91" t="str">
        <f>IF($A110="","",SUMIFS(of_hpd,of_poste,$A110,of_start,"&lt;="&amp;AT$90,of_end,"&gt;="&amp;AT$90))</f>
        <v/>
      </c>
      <c r="AU110" s="91" t="str">
        <f>IF($A110="","",SUMIFS(of_hpd,of_poste,$A110,of_start,"&lt;="&amp;AU$90,of_end,"&gt;="&amp;AU$90))</f>
        <v/>
      </c>
      <c r="AV110" s="91" t="str">
        <f>IF($A110="","",SUMIFS(of_hpd,of_poste,$A110,of_start,"&lt;="&amp;AV$90,of_end,"&gt;="&amp;AV$90))</f>
        <v/>
      </c>
      <c r="AW110" s="91" t="str">
        <f>IF($A110="","",SUMIFS(of_hpd,of_poste,$A110,of_start,"&lt;="&amp;AW$90,of_end,"&gt;="&amp;AW$90))</f>
        <v/>
      </c>
      <c r="AX110" s="91" t="str">
        <f>IF($A110="","",SUMIFS(of_hpd,of_poste,$A110,of_start,"&lt;="&amp;AX$90,of_end,"&gt;="&amp;AX$90))</f>
        <v/>
      </c>
      <c r="AY110" s="91" t="str">
        <f>IF($A110="","",SUMIFS(of_hpd,of_poste,$A110,of_start,"&lt;="&amp;AY$90,of_end,"&gt;="&amp;AY$90))</f>
        <v/>
      </c>
      <c r="AZ110" s="91" t="str">
        <f>IF($A110="","",SUMIFS(of_hpd,of_poste,$A110,of_start,"&lt;="&amp;AZ$90,of_end,"&gt;="&amp;AZ$90))</f>
        <v/>
      </c>
      <c r="BA110" s="91" t="str">
        <f>IF($A110="","",SUMIFS(of_hpd,of_poste,$A110,of_start,"&lt;="&amp;BA$90,of_end,"&gt;="&amp;BA$90))</f>
        <v/>
      </c>
      <c r="BB110" s="91" t="str">
        <f>IF($A110="","",SUMIFS(of_hpd,of_poste,$A110,of_start,"&lt;="&amp;BB$90,of_end,"&gt;="&amp;BB$90))</f>
        <v/>
      </c>
      <c r="BC110" s="91" t="str">
        <f>IF($A110="","",SUMIFS(of_hpd,of_poste,$A110,of_start,"&lt;="&amp;BC$90,of_end,"&gt;="&amp;BC$90))</f>
        <v/>
      </c>
      <c r="BD110" s="91" t="str">
        <f>IF($A110="","",SUMIFS(of_hpd,of_poste,$A110,of_start,"&lt;="&amp;BD$90,of_end,"&gt;="&amp;BD$90))</f>
        <v/>
      </c>
      <c r="BE110" s="91" t="str">
        <f>IF($A110="","",SUMIFS(of_hpd,of_poste,$A110,of_start,"&lt;="&amp;BE$90,of_end,"&gt;="&amp;BE$90))</f>
        <v/>
      </c>
      <c r="BF110" s="91" t="str">
        <f>IF($A110="","",SUMIFS(of_hpd,of_poste,$A110,of_start,"&lt;="&amp;BF$90,of_end,"&gt;="&amp;BF$90))</f>
        <v/>
      </c>
      <c r="BG110" s="91" t="str">
        <f>IF($A110="","",SUMIFS(of_hpd,of_poste,$A110,of_start,"&lt;="&amp;BG$90,of_end,"&gt;="&amp;BG$90))</f>
        <v/>
      </c>
      <c r="BH110" s="91" t="str">
        <f>IF($A110="","",SUMIFS(of_hpd,of_poste,$A110,of_start,"&lt;="&amp;BH$90,of_end,"&gt;="&amp;BH$90))</f>
        <v/>
      </c>
      <c r="BI110" s="91" t="str">
        <f>IF($A110="","",SUMIFS(of_hpd,of_poste,$A110,of_start,"&lt;="&amp;BI$90,of_end,"&gt;="&amp;BI$90))</f>
        <v/>
      </c>
      <c r="BJ110" s="91" t="str">
        <f>IF($A110="","",SUMIFS(of_hpd,of_poste,$A110,of_start,"&lt;="&amp;BJ$90,of_end,"&gt;="&amp;BJ$90))</f>
        <v/>
      </c>
      <c r="BK110" s="91" t="str">
        <f>IF($A110="","",SUMIFS(of_hpd,of_poste,$A110,of_start,"&lt;="&amp;BK$90,of_end,"&gt;="&amp;BK$90))</f>
        <v/>
      </c>
      <c r="BL110" s="91" t="str">
        <f>IF($A110="","",SUMIFS(of_hpd,of_poste,$A110,of_start,"&lt;="&amp;BL$90,of_end,"&gt;="&amp;BL$90))</f>
        <v/>
      </c>
      <c r="BM110" s="91" t="str">
        <f>IF($A110="","",SUMIFS(of_hpd,of_poste,$A110,of_start,"&lt;="&amp;BM$90,of_end,"&gt;="&amp;BM$90))</f>
        <v/>
      </c>
      <c r="BN110" s="91" t="str">
        <f>IF($A110="","",SUMIFS(of_hpd,of_poste,$A110,of_start,"&lt;="&amp;BN$90,of_end,"&gt;="&amp;BN$90))</f>
        <v/>
      </c>
      <c r="BO110" s="91" t="str">
        <f>IF($A110="","",SUMIFS(of_hpd,of_poste,$A110,of_start,"&lt;="&amp;BO$90,of_end,"&gt;="&amp;BO$90))</f>
        <v/>
      </c>
      <c r="BP110" s="91" t="str">
        <f>IF($A110="","",SUMIFS(of_hpd,of_poste,$A110,of_start,"&lt;="&amp;BP$90,of_end,"&gt;="&amp;BP$90))</f>
        <v/>
      </c>
      <c r="BQ110" s="91" t="str">
        <f>IF($A110="","",SUMIFS(of_hpd,of_poste,$A110,of_start,"&lt;="&amp;BQ$90,of_end,"&gt;="&amp;BQ$90))</f>
        <v/>
      </c>
      <c r="BR110" s="91" t="str">
        <f>IF($A110="","",SUMIFS(of_hpd,of_poste,$A110,of_start,"&lt;="&amp;BR$90,of_end,"&gt;="&amp;BR$90))</f>
        <v/>
      </c>
      <c r="BS110" s="91" t="str">
        <f>IF($A110="","",SUMIFS(of_hpd,of_poste,$A110,of_start,"&lt;="&amp;BS$90,of_end,"&gt;="&amp;BS$90))</f>
        <v/>
      </c>
      <c r="BT110" s="91" t="str">
        <f>IF($A110="","",SUMIFS(of_hpd,of_poste,$A110,of_start,"&lt;="&amp;BT$90,of_end,"&gt;="&amp;BT$90))</f>
        <v/>
      </c>
      <c r="BU110" s="91" t="str">
        <f>IF($A110="","",SUMIFS(of_hpd,of_poste,$A110,of_start,"&lt;="&amp;BU$90,of_end,"&gt;="&amp;BU$90))</f>
        <v/>
      </c>
      <c r="BV110" s="91" t="str">
        <f>IF($A110="","",SUMIFS(of_hpd,of_poste,$A110,of_start,"&lt;="&amp;BV$90,of_end,"&gt;="&amp;BV$90))</f>
        <v/>
      </c>
    </row>
    <row r="111">
      <c r="A111" s="90" t="str">
        <f>IF(INDEX(po_code,20)="","",INDEX(po_code,20))</f>
        <v/>
      </c>
      <c r="C111" s="91" t="str">
        <f>IF($A111="","",SUMIFS(of_hpd,of_poste,$A111,of_start,"&lt;="&amp;C$90,of_end,"&gt;="&amp;C$90))</f>
        <v/>
      </c>
      <c r="D111" s="91" t="str">
        <f>IF($A111="","",SUMIFS(of_hpd,of_poste,$A111,of_start,"&lt;="&amp;D$90,of_end,"&gt;="&amp;D$90))</f>
        <v/>
      </c>
      <c r="E111" s="91" t="str">
        <f>IF($A111="","",SUMIFS(of_hpd,of_poste,$A111,of_start,"&lt;="&amp;E$90,of_end,"&gt;="&amp;E$90))</f>
        <v/>
      </c>
      <c r="F111" s="91" t="str">
        <f>IF($A111="","",SUMIFS(of_hpd,of_poste,$A111,of_start,"&lt;="&amp;F$90,of_end,"&gt;="&amp;F$90))</f>
        <v/>
      </c>
      <c r="G111" s="91" t="str">
        <f>IF($A111="","",SUMIFS(of_hpd,of_poste,$A111,of_start,"&lt;="&amp;G$90,of_end,"&gt;="&amp;G$90))</f>
        <v/>
      </c>
      <c r="H111" s="91" t="str">
        <f>IF($A111="","",SUMIFS(of_hpd,of_poste,$A111,of_start,"&lt;="&amp;H$90,of_end,"&gt;="&amp;H$90))</f>
        <v/>
      </c>
      <c r="I111" s="91" t="str">
        <f>IF($A111="","",SUMIFS(of_hpd,of_poste,$A111,of_start,"&lt;="&amp;I$90,of_end,"&gt;="&amp;I$90))</f>
        <v/>
      </c>
      <c r="J111" s="91" t="str">
        <f>IF($A111="","",SUMIFS(of_hpd,of_poste,$A111,of_start,"&lt;="&amp;J$90,of_end,"&gt;="&amp;J$90))</f>
        <v/>
      </c>
      <c r="K111" s="91" t="str">
        <f>IF($A111="","",SUMIFS(of_hpd,of_poste,$A111,of_start,"&lt;="&amp;K$90,of_end,"&gt;="&amp;K$90))</f>
        <v/>
      </c>
      <c r="L111" s="91" t="str">
        <f>IF($A111="","",SUMIFS(of_hpd,of_poste,$A111,of_start,"&lt;="&amp;L$90,of_end,"&gt;="&amp;L$90))</f>
        <v/>
      </c>
      <c r="M111" s="91" t="str">
        <f>IF($A111="","",SUMIFS(of_hpd,of_poste,$A111,of_start,"&lt;="&amp;M$90,of_end,"&gt;="&amp;M$90))</f>
        <v/>
      </c>
      <c r="N111" s="91" t="str">
        <f>IF($A111="","",SUMIFS(of_hpd,of_poste,$A111,of_start,"&lt;="&amp;N$90,of_end,"&gt;="&amp;N$90))</f>
        <v/>
      </c>
      <c r="O111" s="91" t="str">
        <f>IF($A111="","",SUMIFS(of_hpd,of_poste,$A111,of_start,"&lt;="&amp;O$90,of_end,"&gt;="&amp;O$90))</f>
        <v/>
      </c>
      <c r="P111" s="91" t="str">
        <f>IF($A111="","",SUMIFS(of_hpd,of_poste,$A111,of_start,"&lt;="&amp;P$90,of_end,"&gt;="&amp;P$90))</f>
        <v/>
      </c>
      <c r="Q111" s="91" t="str">
        <f>IF($A111="","",SUMIFS(of_hpd,of_poste,$A111,of_start,"&lt;="&amp;Q$90,of_end,"&gt;="&amp;Q$90))</f>
        <v/>
      </c>
      <c r="R111" s="91" t="str">
        <f>IF($A111="","",SUMIFS(of_hpd,of_poste,$A111,of_start,"&lt;="&amp;R$90,of_end,"&gt;="&amp;R$90))</f>
        <v/>
      </c>
      <c r="S111" s="91" t="str">
        <f>IF($A111="","",SUMIFS(of_hpd,of_poste,$A111,of_start,"&lt;="&amp;S$90,of_end,"&gt;="&amp;S$90))</f>
        <v/>
      </c>
      <c r="T111" s="91" t="str">
        <f>IF($A111="","",SUMIFS(of_hpd,of_poste,$A111,of_start,"&lt;="&amp;T$90,of_end,"&gt;="&amp;T$90))</f>
        <v/>
      </c>
      <c r="U111" s="91" t="str">
        <f>IF($A111="","",SUMIFS(of_hpd,of_poste,$A111,of_start,"&lt;="&amp;U$90,of_end,"&gt;="&amp;U$90))</f>
        <v/>
      </c>
      <c r="V111" s="91" t="str">
        <f>IF($A111="","",SUMIFS(of_hpd,of_poste,$A111,of_start,"&lt;="&amp;V$90,of_end,"&gt;="&amp;V$90))</f>
        <v/>
      </c>
      <c r="W111" s="91" t="str">
        <f>IF($A111="","",SUMIFS(of_hpd,of_poste,$A111,of_start,"&lt;="&amp;W$90,of_end,"&gt;="&amp;W$90))</f>
        <v/>
      </c>
      <c r="X111" s="91" t="str">
        <f>IF($A111="","",SUMIFS(of_hpd,of_poste,$A111,of_start,"&lt;="&amp;X$90,of_end,"&gt;="&amp;X$90))</f>
        <v/>
      </c>
      <c r="Y111" s="91" t="str">
        <f>IF($A111="","",SUMIFS(of_hpd,of_poste,$A111,of_start,"&lt;="&amp;Y$90,of_end,"&gt;="&amp;Y$90))</f>
        <v/>
      </c>
      <c r="Z111" s="91" t="str">
        <f>IF($A111="","",SUMIFS(of_hpd,of_poste,$A111,of_start,"&lt;="&amp;Z$90,of_end,"&gt;="&amp;Z$90))</f>
        <v/>
      </c>
      <c r="AA111" s="91" t="str">
        <f>IF($A111="","",SUMIFS(of_hpd,of_poste,$A111,of_start,"&lt;="&amp;AA$90,of_end,"&gt;="&amp;AA$90))</f>
        <v/>
      </c>
      <c r="AB111" s="91" t="str">
        <f>IF($A111="","",SUMIFS(of_hpd,of_poste,$A111,of_start,"&lt;="&amp;AB$90,of_end,"&gt;="&amp;AB$90))</f>
        <v/>
      </c>
      <c r="AC111" s="91" t="str">
        <f>IF($A111="","",SUMIFS(of_hpd,of_poste,$A111,of_start,"&lt;="&amp;AC$90,of_end,"&gt;="&amp;AC$90))</f>
        <v/>
      </c>
      <c r="AD111" s="91" t="str">
        <f>IF($A111="","",SUMIFS(of_hpd,of_poste,$A111,of_start,"&lt;="&amp;AD$90,of_end,"&gt;="&amp;AD$90))</f>
        <v/>
      </c>
      <c r="AE111" s="91" t="str">
        <f>IF($A111="","",SUMIFS(of_hpd,of_poste,$A111,of_start,"&lt;="&amp;AE$90,of_end,"&gt;="&amp;AE$90))</f>
        <v/>
      </c>
      <c r="AF111" s="91" t="str">
        <f>IF($A111="","",SUMIFS(of_hpd,of_poste,$A111,of_start,"&lt;="&amp;AF$90,of_end,"&gt;="&amp;AF$90))</f>
        <v/>
      </c>
      <c r="AG111" s="91" t="str">
        <f>IF($A111="","",SUMIFS(of_hpd,of_poste,$A111,of_start,"&lt;="&amp;AG$90,of_end,"&gt;="&amp;AG$90))</f>
        <v/>
      </c>
      <c r="AH111" s="91" t="str">
        <f>IF($A111="","",SUMIFS(of_hpd,of_poste,$A111,of_start,"&lt;="&amp;AH$90,of_end,"&gt;="&amp;AH$90))</f>
        <v/>
      </c>
      <c r="AI111" s="91" t="str">
        <f>IF($A111="","",SUMIFS(of_hpd,of_poste,$A111,of_start,"&lt;="&amp;AI$90,of_end,"&gt;="&amp;AI$90))</f>
        <v/>
      </c>
      <c r="AJ111" s="91" t="str">
        <f>IF($A111="","",SUMIFS(of_hpd,of_poste,$A111,of_start,"&lt;="&amp;AJ$90,of_end,"&gt;="&amp;AJ$90))</f>
        <v/>
      </c>
      <c r="AK111" s="91" t="str">
        <f>IF($A111="","",SUMIFS(of_hpd,of_poste,$A111,of_start,"&lt;="&amp;AK$90,of_end,"&gt;="&amp;AK$90))</f>
        <v/>
      </c>
      <c r="AL111" s="91" t="str">
        <f>IF($A111="","",SUMIFS(of_hpd,of_poste,$A111,of_start,"&lt;="&amp;AL$90,of_end,"&gt;="&amp;AL$90))</f>
        <v/>
      </c>
      <c r="AM111" s="91" t="str">
        <f>IF($A111="","",SUMIFS(of_hpd,of_poste,$A111,of_start,"&lt;="&amp;AM$90,of_end,"&gt;="&amp;AM$90))</f>
        <v/>
      </c>
      <c r="AN111" s="91" t="str">
        <f>IF($A111="","",SUMIFS(of_hpd,of_poste,$A111,of_start,"&lt;="&amp;AN$90,of_end,"&gt;="&amp;AN$90))</f>
        <v/>
      </c>
      <c r="AO111" s="91" t="str">
        <f>IF($A111="","",SUMIFS(of_hpd,of_poste,$A111,of_start,"&lt;="&amp;AO$90,of_end,"&gt;="&amp;AO$90))</f>
        <v/>
      </c>
      <c r="AP111" s="91" t="str">
        <f>IF($A111="","",SUMIFS(of_hpd,of_poste,$A111,of_start,"&lt;="&amp;AP$90,of_end,"&gt;="&amp;AP$90))</f>
        <v/>
      </c>
      <c r="AQ111" s="91" t="str">
        <f>IF($A111="","",SUMIFS(of_hpd,of_poste,$A111,of_start,"&lt;="&amp;AQ$90,of_end,"&gt;="&amp;AQ$90))</f>
        <v/>
      </c>
      <c r="AR111" s="91" t="str">
        <f>IF($A111="","",SUMIFS(of_hpd,of_poste,$A111,of_start,"&lt;="&amp;AR$90,of_end,"&gt;="&amp;AR$90))</f>
        <v/>
      </c>
      <c r="AS111" s="91" t="str">
        <f>IF($A111="","",SUMIFS(of_hpd,of_poste,$A111,of_start,"&lt;="&amp;AS$90,of_end,"&gt;="&amp;AS$90))</f>
        <v/>
      </c>
      <c r="AT111" s="91" t="str">
        <f>IF($A111="","",SUMIFS(of_hpd,of_poste,$A111,of_start,"&lt;="&amp;AT$90,of_end,"&gt;="&amp;AT$90))</f>
        <v/>
      </c>
      <c r="AU111" s="91" t="str">
        <f>IF($A111="","",SUMIFS(of_hpd,of_poste,$A111,of_start,"&lt;="&amp;AU$90,of_end,"&gt;="&amp;AU$90))</f>
        <v/>
      </c>
      <c r="AV111" s="91" t="str">
        <f>IF($A111="","",SUMIFS(of_hpd,of_poste,$A111,of_start,"&lt;="&amp;AV$90,of_end,"&gt;="&amp;AV$90))</f>
        <v/>
      </c>
      <c r="AW111" s="91" t="str">
        <f>IF($A111="","",SUMIFS(of_hpd,of_poste,$A111,of_start,"&lt;="&amp;AW$90,of_end,"&gt;="&amp;AW$90))</f>
        <v/>
      </c>
      <c r="AX111" s="91" t="str">
        <f>IF($A111="","",SUMIFS(of_hpd,of_poste,$A111,of_start,"&lt;="&amp;AX$90,of_end,"&gt;="&amp;AX$90))</f>
        <v/>
      </c>
      <c r="AY111" s="91" t="str">
        <f>IF($A111="","",SUMIFS(of_hpd,of_poste,$A111,of_start,"&lt;="&amp;AY$90,of_end,"&gt;="&amp;AY$90))</f>
        <v/>
      </c>
      <c r="AZ111" s="91" t="str">
        <f>IF($A111="","",SUMIFS(of_hpd,of_poste,$A111,of_start,"&lt;="&amp;AZ$90,of_end,"&gt;="&amp;AZ$90))</f>
        <v/>
      </c>
      <c r="BA111" s="91" t="str">
        <f>IF($A111="","",SUMIFS(of_hpd,of_poste,$A111,of_start,"&lt;="&amp;BA$90,of_end,"&gt;="&amp;BA$90))</f>
        <v/>
      </c>
      <c r="BB111" s="91" t="str">
        <f>IF($A111="","",SUMIFS(of_hpd,of_poste,$A111,of_start,"&lt;="&amp;BB$90,of_end,"&gt;="&amp;BB$90))</f>
        <v/>
      </c>
      <c r="BC111" s="91" t="str">
        <f>IF($A111="","",SUMIFS(of_hpd,of_poste,$A111,of_start,"&lt;="&amp;BC$90,of_end,"&gt;="&amp;BC$90))</f>
        <v/>
      </c>
      <c r="BD111" s="91" t="str">
        <f>IF($A111="","",SUMIFS(of_hpd,of_poste,$A111,of_start,"&lt;="&amp;BD$90,of_end,"&gt;="&amp;BD$90))</f>
        <v/>
      </c>
      <c r="BE111" s="91" t="str">
        <f>IF($A111="","",SUMIFS(of_hpd,of_poste,$A111,of_start,"&lt;="&amp;BE$90,of_end,"&gt;="&amp;BE$90))</f>
        <v/>
      </c>
      <c r="BF111" s="91" t="str">
        <f>IF($A111="","",SUMIFS(of_hpd,of_poste,$A111,of_start,"&lt;="&amp;BF$90,of_end,"&gt;="&amp;BF$90))</f>
        <v/>
      </c>
      <c r="BG111" s="91" t="str">
        <f>IF($A111="","",SUMIFS(of_hpd,of_poste,$A111,of_start,"&lt;="&amp;BG$90,of_end,"&gt;="&amp;BG$90))</f>
        <v/>
      </c>
      <c r="BH111" s="91" t="str">
        <f>IF($A111="","",SUMIFS(of_hpd,of_poste,$A111,of_start,"&lt;="&amp;BH$90,of_end,"&gt;="&amp;BH$90))</f>
        <v/>
      </c>
      <c r="BI111" s="91" t="str">
        <f>IF($A111="","",SUMIFS(of_hpd,of_poste,$A111,of_start,"&lt;="&amp;BI$90,of_end,"&gt;="&amp;BI$90))</f>
        <v/>
      </c>
      <c r="BJ111" s="91" t="str">
        <f>IF($A111="","",SUMIFS(of_hpd,of_poste,$A111,of_start,"&lt;="&amp;BJ$90,of_end,"&gt;="&amp;BJ$90))</f>
        <v/>
      </c>
      <c r="BK111" s="91" t="str">
        <f>IF($A111="","",SUMIFS(of_hpd,of_poste,$A111,of_start,"&lt;="&amp;BK$90,of_end,"&gt;="&amp;BK$90))</f>
        <v/>
      </c>
      <c r="BL111" s="91" t="str">
        <f>IF($A111="","",SUMIFS(of_hpd,of_poste,$A111,of_start,"&lt;="&amp;BL$90,of_end,"&gt;="&amp;BL$90))</f>
        <v/>
      </c>
      <c r="BM111" s="91" t="str">
        <f>IF($A111="","",SUMIFS(of_hpd,of_poste,$A111,of_start,"&lt;="&amp;BM$90,of_end,"&gt;="&amp;BM$90))</f>
        <v/>
      </c>
      <c r="BN111" s="91" t="str">
        <f>IF($A111="","",SUMIFS(of_hpd,of_poste,$A111,of_start,"&lt;="&amp;BN$90,of_end,"&gt;="&amp;BN$90))</f>
        <v/>
      </c>
      <c r="BO111" s="91" t="str">
        <f>IF($A111="","",SUMIFS(of_hpd,of_poste,$A111,of_start,"&lt;="&amp;BO$90,of_end,"&gt;="&amp;BO$90))</f>
        <v/>
      </c>
      <c r="BP111" s="91" t="str">
        <f>IF($A111="","",SUMIFS(of_hpd,of_poste,$A111,of_start,"&lt;="&amp;BP$90,of_end,"&gt;="&amp;BP$90))</f>
        <v/>
      </c>
      <c r="BQ111" s="91" t="str">
        <f>IF($A111="","",SUMIFS(of_hpd,of_poste,$A111,of_start,"&lt;="&amp;BQ$90,of_end,"&gt;="&amp;BQ$90))</f>
        <v/>
      </c>
      <c r="BR111" s="91" t="str">
        <f>IF($A111="","",SUMIFS(of_hpd,of_poste,$A111,of_start,"&lt;="&amp;BR$90,of_end,"&gt;="&amp;BR$90))</f>
        <v/>
      </c>
      <c r="BS111" s="91" t="str">
        <f>IF($A111="","",SUMIFS(of_hpd,of_poste,$A111,of_start,"&lt;="&amp;BS$90,of_end,"&gt;="&amp;BS$90))</f>
        <v/>
      </c>
      <c r="BT111" s="91" t="str">
        <f>IF($A111="","",SUMIFS(of_hpd,of_poste,$A111,of_start,"&lt;="&amp;BT$90,of_end,"&gt;="&amp;BT$90))</f>
        <v/>
      </c>
      <c r="BU111" s="91" t="str">
        <f>IF($A111="","",SUMIFS(of_hpd,of_poste,$A111,of_start,"&lt;="&amp;BU$90,of_end,"&gt;="&amp;BU$90))</f>
        <v/>
      </c>
      <c r="BV111" s="91" t="str">
        <f>IF($A111="","",SUMIFS(of_hpd,of_poste,$A111,of_start,"&lt;="&amp;BV$90,of_end,"&gt;="&amp;BV$90))</f>
        <v/>
      </c>
    </row>
  </sheetData>
  <conditionalFormatting sqref="C60:N80">
    <cfRule type="expression" priority="1" dxfId="0" stopIfTrue="1">
      <formula>AND(ISNUMBER(C60),C60&gt;1)</formula>
    </cfRule>
    <cfRule type="expression" priority="2" dxfId="1" stopIfTrue="1">
      <formula>AND(ISNUMBER(C60),C60&gt;=0.85)</formula>
    </cfRule>
    <cfRule type="expression" priority="3" dxfId="2">
      <formula>AND(ISNUMBER(C60),C60&gt;0)</formula>
    </cfRule>
  </conditionalFormatting>
  <hyperlinks>
    <hyperlink ref="N1" location="'Mode d''emploi'!A1"/>
  </hyperlinks>
  <printOptions horizontalCentered="1"/>
  <pageMargins left="0.4" right="0.4" top="0.5" bottom="0.5" header="0.5" footer="0.5"/>
  <pageSetup orientation="landscape" paperSize="9" fitToHeight="0" fitToWidth="1"/>
  <rowBreaks count="2" manualBreakCount="2">
    <brk id="30" min="0" max="16383" man="1"/>
    <brk id="56" min="0" max="16383" man="1"/>
  </rowBreaks>
</worksheet>
</file>

<file path=xl/worksheets/sheet6.xml><?xml version="1.0" encoding="utf-8"?>
<worksheet xmlns="http://schemas.openxmlformats.org/spreadsheetml/2006/main">
  <sheetPr>
    <tabColor rgb="FF4D7C0F"/>
    <outlinePr summaryBelow="1" summaryRight="1"/>
    <pageSetUpPr fitToPage="1"/>
  </sheetPr>
  <dimension ref="A1:G3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34" customWidth="1" min="2" max="2"/>
    <col width="12" customWidth="1" min="3" max="3"/>
    <col width="14" customWidth="1" min="4" max="4"/>
    <col width="15" customWidth="1" min="5" max="5"/>
    <col width="14" customWidth="1" min="6" max="6"/>
    <col width="26" customWidth="1" min="7" max="7"/>
  </cols>
  <sheetData>
    <row r="1" ht="38" customHeight="1">
      <c r="A1" s="2" t="inlineStr">
        <is>
          <t>Gammes</t>
        </is>
      </c>
      <c r="B1" s="1" t="n"/>
      <c r="C1" s="1" t="n"/>
      <c r="D1" s="1" t="n"/>
      <c r="E1" s="1" t="n"/>
      <c r="F1" s="1" t="n"/>
      <c r="G1" s="18" t="inlineStr">
        <is>
          <t>⌂ Mode d'emploi</t>
        </is>
      </c>
    </row>
    <row r="2" ht="22" customHeight="1">
      <c r="A2" s="4" t="inlineStr">
        <is>
          <t>Pour chaque article : le poste qui le fabrique et ses temps. Un OF de 500 pièces à 1,2 min avec 1 h de réglage = 11 heures.</t>
        </is>
      </c>
      <c r="B2" s="3" t="n"/>
      <c r="C2" s="3" t="n"/>
      <c r="D2" s="3" t="n"/>
      <c r="E2" s="3" t="n"/>
      <c r="F2" s="3" t="n"/>
      <c r="G2" s="3" t="n"/>
    </row>
    <row r="3" ht="18" customHeight="1">
      <c r="F3" s="16" t="inlineStr">
        <is>
          <t>Saisie</t>
        </is>
      </c>
      <c r="G3" s="17" t="inlineStr">
        <is>
          <t>Calcul auto</t>
        </is>
      </c>
    </row>
    <row r="5" ht="34" customHeight="1">
      <c r="A5" s="42" t="inlineStr">
        <is>
          <t>Référence</t>
        </is>
      </c>
      <c r="B5" s="42" t="inlineStr">
        <is>
          <t>Désignation</t>
        </is>
      </c>
      <c r="C5" s="42" t="inlineStr">
        <is>
          <t>Poste</t>
        </is>
      </c>
      <c r="D5" s="42" t="inlineStr">
        <is>
          <t>Réglage (h)</t>
        </is>
      </c>
      <c r="E5" s="42" t="inlineStr">
        <is>
          <t>Temps par pièce (min)</t>
        </is>
      </c>
      <c r="F5" s="42" t="inlineStr">
        <is>
          <t>Cadence (pièces/h)</t>
        </is>
      </c>
      <c r="G5" s="42" t="inlineStr">
        <is>
          <t>Contrôle</t>
        </is>
      </c>
    </row>
    <row r="6">
      <c r="A6" s="53" t="inlineStr">
        <is>
          <t>SUP-MOT-01</t>
        </is>
      </c>
      <c r="B6" s="53" t="inlineStr">
        <is>
          <t>Support moteur acier</t>
        </is>
      </c>
      <c r="C6" s="57" t="inlineStr">
        <is>
          <t>PLIE</t>
        </is>
      </c>
      <c r="D6" s="92" t="n">
        <v>1</v>
      </c>
      <c r="E6" s="93" t="n">
        <v>1.2</v>
      </c>
      <c r="F6" s="59">
        <f>IF(N(E6)&gt;0,60/E6,"")</f>
        <v>50.0</v>
      </c>
      <c r="G6" s="58" t="str">
        <f>IF(A6="","",IF(COUNTIF($A$6:$A$305,A6)&gt;1,"Référence en double",IF(C6="","Poste manquant",IF(ISNA(MATCH(C6,po_code,0)),"Poste inconnu",IF(N(E6)&lt;=0,"Temps par pièce manquant","OK")))))</f>
        <v>OK</v>
      </c>
    </row>
    <row r="7">
      <c r="A7" s="53" t="inlineStr">
        <is>
          <t>BRA-SUS-02</t>
        </is>
      </c>
      <c r="B7" s="53" t="inlineStr">
        <is>
          <t>Bras de suspension soudé</t>
        </is>
      </c>
      <c r="C7" s="57" t="inlineStr">
        <is>
          <t>SOUD</t>
        </is>
      </c>
      <c r="D7" s="92" t="n">
        <v>0.5</v>
      </c>
      <c r="E7" s="93" t="n">
        <v>6.5</v>
      </c>
      <c r="F7" s="59">
        <f>IF(N(E7)&gt;0,60/E7,"")</f>
        <v>9.23076923076923</v>
      </c>
      <c r="G7" s="58" t="str">
        <f>IF(A7="","",IF(COUNTIF($A$6:$A$305,A7)&gt;1,"Référence en double",IF(C7="","Poste manquant",IF(ISNA(MATCH(C7,po_code,0)),"Poste inconnu",IF(N(E7)&lt;=0,"Temps par pièce manquant","OK")))))</f>
        <v>OK</v>
      </c>
    </row>
    <row r="8">
      <c r="A8" s="53" t="inlineStr">
        <is>
          <t>AXE-R20</t>
        </is>
      </c>
      <c r="B8" s="53" t="inlineStr">
        <is>
          <t>Axe de roue Ø20</t>
        </is>
      </c>
      <c r="C8" s="57" t="inlineStr">
        <is>
          <t>TOUR</t>
        </is>
      </c>
      <c r="D8" s="92" t="n">
        <v>1.5</v>
      </c>
      <c r="E8" s="93" t="n">
        <v>3</v>
      </c>
      <c r="F8" s="59">
        <f>IF(N(E8)&gt;0,60/E8,"")</f>
        <v>20.0</v>
      </c>
      <c r="G8" s="58" t="str">
        <f>IF(A8="","",IF(COUNTIF($A$6:$A$305,A8)&gt;1,"Référence en double",IF(C8="","Poste manquant",IF(ISNA(MATCH(C8,po_code,0)),"Poste inconnu",IF(N(E8)&lt;=0,"Temps par pièce manquant","OK")))))</f>
        <v>OK</v>
      </c>
    </row>
    <row r="9">
      <c r="A9" s="53" t="inlineStr">
        <is>
          <t>BAG-BR-32</t>
        </is>
      </c>
      <c r="B9" s="53" t="inlineStr">
        <is>
          <t>Bague bronze Ø32</t>
        </is>
      </c>
      <c r="C9" s="57" t="inlineStr">
        <is>
          <t>TOUR</t>
        </is>
      </c>
      <c r="D9" s="92" t="n">
        <v>1</v>
      </c>
      <c r="E9" s="93" t="n">
        <v>1.8</v>
      </c>
      <c r="F9" s="59">
        <f>IF(N(E9)&gt;0,60/E9,"")</f>
        <v>33.3333333333333</v>
      </c>
      <c r="G9" s="58" t="str">
        <f>IF(A9="","",IF(COUNTIF($A$6:$A$305,A9)&gt;1,"Référence en double",IF(C9="","Poste manquant",IF(ISNA(MATCH(C9,po_code,0)),"Poste inconnu",IF(N(E9)&lt;=0,"Temps par pièce manquant","OK")))))</f>
        <v>OK</v>
      </c>
    </row>
    <row r="10">
      <c r="A10" s="53" t="inlineStr">
        <is>
          <t>FLA-PL-150</t>
        </is>
      </c>
      <c r="B10" s="53" t="inlineStr">
        <is>
          <t>Flasque usinée 150</t>
        </is>
      </c>
      <c r="C10" s="57" t="inlineStr">
        <is>
          <t>FRAIS</t>
        </is>
      </c>
      <c r="D10" s="92" t="n">
        <v>2</v>
      </c>
      <c r="E10" s="93" t="n">
        <v>7.5</v>
      </c>
      <c r="F10" s="59">
        <f>IF(N(E10)&gt;0,60/E10,"")</f>
        <v>8.0</v>
      </c>
      <c r="G10" s="58" t="str">
        <f>IF(A10="","",IF(COUNTIF($A$6:$A$305,A10)&gt;1,"Référence en double",IF(C10="","Poste manquant",IF(ISNA(MATCH(C10,po_code,0)),"Poste inconnu",IF(N(E10)&lt;=0,"Temps par pièce manquant","OK")))))</f>
        <v>OK</v>
      </c>
    </row>
    <row r="11">
      <c r="A11" s="53" t="inlineStr">
        <is>
          <t>CAR-BOI-04</t>
        </is>
      </c>
      <c r="B11" s="53" t="inlineStr">
        <is>
          <t>Carter de boîte usiné</t>
        </is>
      </c>
      <c r="C11" s="57" t="inlineStr">
        <is>
          <t>FRAIS</t>
        </is>
      </c>
      <c r="D11" s="92" t="n">
        <v>3</v>
      </c>
      <c r="E11" s="93" t="n">
        <v>22</v>
      </c>
      <c r="F11" s="59">
        <f>IF(N(E11)&gt;0,60/E11,"")</f>
        <v>2.72727272727273</v>
      </c>
      <c r="G11" s="58" t="str">
        <f>IF(A11="","",IF(COUNTIF($A$6:$A$305,A11)&gt;1,"Référence en double",IF(C11="","Poste manquant",IF(ISNA(MATCH(C11,po_code,0)),"Poste inconnu",IF(N(E11)&lt;=0,"Temps par pièce manquant","OK")))))</f>
        <v>OK</v>
      </c>
    </row>
    <row r="12">
      <c r="A12" s="53" t="inlineStr">
        <is>
          <t>TUB-CAD-40</t>
        </is>
      </c>
      <c r="B12" s="53" t="inlineStr">
        <is>
          <t>Tube cadre 40x40 coupé</t>
        </is>
      </c>
      <c r="C12" s="57" t="inlineStr">
        <is>
          <t>SCIE</t>
        </is>
      </c>
      <c r="D12" s="92" t="n">
        <v>0.3</v>
      </c>
      <c r="E12" s="93" t="n">
        <v>0.8</v>
      </c>
      <c r="F12" s="59">
        <f>IF(N(E12)&gt;0,60/E12,"")</f>
        <v>75.0</v>
      </c>
      <c r="G12" s="58" t="str">
        <f>IF(A12="","",IF(COUNTIF($A$6:$A$305,A12)&gt;1,"Référence en double",IF(C12="","Poste manquant",IF(ISNA(MATCH(C12,po_code,0)),"Poste inconnu",IF(N(E12)&lt;=0,"Temps par pièce manquant","OK")))))</f>
        <v>OK</v>
      </c>
    </row>
    <row r="13">
      <c r="A13" s="53" t="inlineStr">
        <is>
          <t>PAT-FIX-10</t>
        </is>
      </c>
      <c r="B13" s="53" t="inlineStr">
        <is>
          <t>Patte de fixation pliée</t>
        </is>
      </c>
      <c r="C13" s="57" t="inlineStr">
        <is>
          <t>PLIE</t>
        </is>
      </c>
      <c r="D13" s="92" t="n">
        <v>0.8</v>
      </c>
      <c r="E13" s="93" t="n">
        <v>0.6</v>
      </c>
      <c r="F13" s="59">
        <f>IF(N(E13)&gt;0,60/E13,"")</f>
        <v>100.0</v>
      </c>
      <c r="G13" s="58" t="str">
        <f>IF(A13="","",IF(COUNTIF($A$6:$A$305,A13)&gt;1,"Référence en double",IF(C13="","Poste manquant",IF(ISNA(MATCH(C13,po_code,0)),"Poste inconnu",IF(N(E13)&lt;=0,"Temps par pièce manquant","OK")))))</f>
        <v>OK</v>
      </c>
    </row>
    <row r="14">
      <c r="A14" s="53" t="inlineStr">
        <is>
          <t>CHA-REM-01</t>
        </is>
      </c>
      <c r="B14" s="53" t="inlineStr">
        <is>
          <t>Châssis remorque soudé</t>
        </is>
      </c>
      <c r="C14" s="57" t="inlineStr">
        <is>
          <t>SOUD</t>
        </is>
      </c>
      <c r="D14" s="92" t="n">
        <v>1</v>
      </c>
      <c r="E14" s="93" t="n">
        <v>95</v>
      </c>
      <c r="F14" s="59">
        <f>IF(N(E14)&gt;0,60/E14,"")</f>
        <v>0.631578947368421</v>
      </c>
      <c r="G14" s="58" t="str">
        <f>IF(A14="","",IF(COUNTIF($A$6:$A$305,A14)&gt;1,"Référence en double",IF(C14="","Poste manquant",IF(ISNA(MATCH(C14,po_code,0)),"Poste inconnu",IF(N(E14)&lt;=0,"Temps par pièce manquant","OK")))))</f>
        <v>OK</v>
      </c>
    </row>
    <row r="15">
      <c r="A15" s="53" t="inlineStr">
        <is>
          <t>CHA-REM-P</t>
        </is>
      </c>
      <c r="B15" s="53" t="inlineStr">
        <is>
          <t>Châssis remorque peint</t>
        </is>
      </c>
      <c r="C15" s="57" t="inlineStr">
        <is>
          <t>PEINT</t>
        </is>
      </c>
      <c r="D15" s="92" t="n">
        <v>0.5</v>
      </c>
      <c r="E15" s="93" t="n">
        <v>18</v>
      </c>
      <c r="F15" s="59">
        <f>IF(N(E15)&gt;0,60/E15,"")</f>
        <v>3.33333333333333</v>
      </c>
      <c r="G15" s="58" t="str">
        <f>IF(A15="","",IF(COUNTIF($A$6:$A$305,A15)&gt;1,"Référence en double",IF(C15="","Poste manquant",IF(ISNA(MATCH(C15,po_code,0)),"Poste inconnu",IF(N(E15)&lt;=0,"Temps par pièce manquant","OK")))))</f>
        <v>OK</v>
      </c>
    </row>
    <row r="16">
      <c r="A16" s="53" t="inlineStr">
        <is>
          <t>KIT-ATT-01</t>
        </is>
      </c>
      <c r="B16" s="53" t="inlineStr">
        <is>
          <t>Kit attelage monté</t>
        </is>
      </c>
      <c r="C16" s="57" t="inlineStr">
        <is>
          <t>MONT</t>
        </is>
      </c>
      <c r="D16" s="92" t="n">
        <v>0.3</v>
      </c>
      <c r="E16" s="93" t="n">
        <v>14</v>
      </c>
      <c r="F16" s="59">
        <f>IF(N(E16)&gt;0,60/E16,"")</f>
        <v>4.28571428571429</v>
      </c>
      <c r="G16" s="58" t="str">
        <f>IF(A16="","",IF(COUNTIF($A$6:$A$305,A16)&gt;1,"Référence en double",IF(C16="","Poste manquant",IF(ISNA(MATCH(C16,po_code,0)),"Poste inconnu",IF(N(E16)&lt;=0,"Temps par pièce manquant","OK")))))</f>
        <v>OK</v>
      </c>
    </row>
    <row r="17">
      <c r="A17" s="53" t="inlineStr">
        <is>
          <t>PIG-T15</t>
        </is>
      </c>
      <c r="B17" s="53" t="inlineStr">
        <is>
          <t>Pignon T15</t>
        </is>
      </c>
      <c r="C17" s="57" t="inlineStr">
        <is>
          <t>FRAIS</t>
        </is>
      </c>
      <c r="D17" s="92" t="n">
        <v>2.5</v>
      </c>
      <c r="E17" s="93" t="n">
        <v>9</v>
      </c>
      <c r="F17" s="59">
        <f>IF(N(E17)&gt;0,60/E17,"")</f>
        <v>6.66666666666667</v>
      </c>
      <c r="G17" s="58" t="str">
        <f>IF(A17="","",IF(COUNTIF($A$6:$A$305,A17)&gt;1,"Référence en double",IF(C17="","Poste manquant",IF(ISNA(MATCH(C17,po_code,0)),"Poste inconnu",IF(N(E17)&lt;=0,"Temps par pièce manquant","OK")))))</f>
        <v>OK</v>
      </c>
    </row>
    <row r="18">
      <c r="A18" s="53" t="inlineStr">
        <is>
          <t>ENT-12</t>
        </is>
      </c>
      <c r="B18" s="53" t="inlineStr">
        <is>
          <t>Entretoise Ø12</t>
        </is>
      </c>
      <c r="C18" s="57" t="inlineStr">
        <is>
          <t>TOUR</t>
        </is>
      </c>
      <c r="D18" s="92" t="n">
        <v>0.5</v>
      </c>
      <c r="E18" s="93" t="n">
        <v>0.9</v>
      </c>
      <c r="F18" s="59">
        <f>IF(N(E18)&gt;0,60/E18,"")</f>
        <v>66.6666666666667</v>
      </c>
      <c r="G18" s="58" t="str">
        <f>IF(A18="","",IF(COUNTIF($A$6:$A$305,A18)&gt;1,"Référence en double",IF(C18="","Poste manquant",IF(ISNA(MATCH(C18,po_code,0)),"Poste inconnu",IF(N(E18)&lt;=0,"Temps par pièce manquant","OK")))))</f>
        <v>OK</v>
      </c>
    </row>
    <row r="19">
      <c r="A19" s="53" t="inlineStr">
        <is>
          <t>GAR-SUP-02</t>
        </is>
      </c>
      <c r="B19" s="53" t="inlineStr">
        <is>
          <t>Support garde-boue plié</t>
        </is>
      </c>
      <c r="C19" s="57" t="inlineStr">
        <is>
          <t>PLIE</t>
        </is>
      </c>
      <c r="D19" s="92" t="n">
        <v>0.6</v>
      </c>
      <c r="E19" s="93" t="n">
        <v>1.5</v>
      </c>
      <c r="F19" s="59">
        <f>IF(N(E19)&gt;0,60/E19,"")</f>
        <v>40.0</v>
      </c>
      <c r="G19" s="58" t="str">
        <f>IF(A19="","",IF(COUNTIF($A$6:$A$305,A19)&gt;1,"Référence en double",IF(C19="","Poste manquant",IF(ISNA(MATCH(C19,po_code,0)),"Poste inconnu",IF(N(E19)&lt;=0,"Temps par pièce manquant","OK")))))</f>
        <v>OK</v>
      </c>
    </row>
    <row r="20">
      <c r="A20" s="53" t="n"/>
      <c r="B20" s="53" t="n"/>
      <c r="C20" s="57" t="n"/>
      <c r="D20" s="92" t="n"/>
      <c r="E20" s="93" t="n"/>
      <c r="F20" s="59" t="str">
        <f>IF(N(E20)&gt;0,60/E20,"")</f>
        <v/>
      </c>
      <c r="G20" s="58" t="str">
        <f>IF(A20="","",IF(COUNTIF($A$6:$A$305,A20)&gt;1,"Référence en double",IF(C20="","Poste manquant",IF(ISNA(MATCH(C20,po_code,0)),"Poste inconnu",IF(N(E20)&lt;=0,"Temps par pièce manquant","OK")))))</f>
        <v/>
      </c>
    </row>
    <row r="21">
      <c r="A21" s="53" t="n"/>
      <c r="B21" s="53" t="n"/>
      <c r="C21" s="57" t="n"/>
      <c r="D21" s="92" t="n"/>
      <c r="E21" s="93" t="n"/>
      <c r="F21" s="59" t="str">
        <f>IF(N(E21)&gt;0,60/E21,"")</f>
        <v/>
      </c>
      <c r="G21" s="58" t="str">
        <f>IF(A21="","",IF(COUNTIF($A$6:$A$305,A21)&gt;1,"Référence en double",IF(C21="","Poste manquant",IF(ISNA(MATCH(C21,po_code,0)),"Poste inconnu",IF(N(E21)&lt;=0,"Temps par pièce manquant","OK")))))</f>
        <v/>
      </c>
    </row>
    <row r="22">
      <c r="A22" s="53" t="n"/>
      <c r="B22" s="53" t="n"/>
      <c r="C22" s="57" t="n"/>
      <c r="D22" s="92" t="n"/>
      <c r="E22" s="93" t="n"/>
      <c r="F22" s="59" t="str">
        <f>IF(N(E22)&gt;0,60/E22,"")</f>
        <v/>
      </c>
      <c r="G22" s="58" t="str">
        <f>IF(A22="","",IF(COUNTIF($A$6:$A$305,A22)&gt;1,"Référence en double",IF(C22="","Poste manquant",IF(ISNA(MATCH(C22,po_code,0)),"Poste inconnu",IF(N(E22)&lt;=0,"Temps par pièce manquant","OK")))))</f>
        <v/>
      </c>
    </row>
    <row r="23">
      <c r="A23" s="53" t="n"/>
      <c r="B23" s="53" t="n"/>
      <c r="C23" s="57" t="n"/>
      <c r="D23" s="92" t="n"/>
      <c r="E23" s="93" t="n"/>
      <c r="F23" s="59" t="str">
        <f>IF(N(E23)&gt;0,60/E23,"")</f>
        <v/>
      </c>
      <c r="G23" s="58" t="str">
        <f>IF(A23="","",IF(COUNTIF($A$6:$A$305,A23)&gt;1,"Référence en double",IF(C23="","Poste manquant",IF(ISNA(MATCH(C23,po_code,0)),"Poste inconnu",IF(N(E23)&lt;=0,"Temps par pièce manquant","OK")))))</f>
        <v/>
      </c>
    </row>
    <row r="24">
      <c r="A24" s="53" t="n"/>
      <c r="B24" s="53" t="n"/>
      <c r="C24" s="57" t="n"/>
      <c r="D24" s="92" t="n"/>
      <c r="E24" s="93" t="n"/>
      <c r="F24" s="59" t="str">
        <f>IF(N(E24)&gt;0,60/E24,"")</f>
        <v/>
      </c>
      <c r="G24" s="58" t="str">
        <f>IF(A24="","",IF(COUNTIF($A$6:$A$305,A24)&gt;1,"Référence en double",IF(C24="","Poste manquant",IF(ISNA(MATCH(C24,po_code,0)),"Poste inconnu",IF(N(E24)&lt;=0,"Temps par pièce manquant","OK")))))</f>
        <v/>
      </c>
    </row>
    <row r="25">
      <c r="A25" s="53" t="n"/>
      <c r="B25" s="53" t="n"/>
      <c r="C25" s="57" t="n"/>
      <c r="D25" s="92" t="n"/>
      <c r="E25" s="93" t="n"/>
      <c r="F25" s="59" t="str">
        <f>IF(N(E25)&gt;0,60/E25,"")</f>
        <v/>
      </c>
      <c r="G25" s="58" t="str">
        <f>IF(A25="","",IF(COUNTIF($A$6:$A$305,A25)&gt;1,"Référence en double",IF(C25="","Poste manquant",IF(ISNA(MATCH(C25,po_code,0)),"Poste inconnu",IF(N(E25)&lt;=0,"Temps par pièce manquant","OK")))))</f>
        <v/>
      </c>
    </row>
    <row r="26">
      <c r="A26" s="53" t="n"/>
      <c r="B26" s="53" t="n"/>
      <c r="C26" s="57" t="n"/>
      <c r="D26" s="92" t="n"/>
      <c r="E26" s="93" t="n"/>
      <c r="F26" s="59" t="str">
        <f>IF(N(E26)&gt;0,60/E26,"")</f>
        <v/>
      </c>
      <c r="G26" s="58" t="str">
        <f>IF(A26="","",IF(COUNTIF($A$6:$A$305,A26)&gt;1,"Référence en double",IF(C26="","Poste manquant",IF(ISNA(MATCH(C26,po_code,0)),"Poste inconnu",IF(N(E26)&lt;=0,"Temps par pièce manquant","OK")))))</f>
        <v/>
      </c>
    </row>
    <row r="27">
      <c r="A27" s="53" t="n"/>
      <c r="B27" s="53" t="n"/>
      <c r="C27" s="57" t="n"/>
      <c r="D27" s="92" t="n"/>
      <c r="E27" s="93" t="n"/>
      <c r="F27" s="59" t="str">
        <f>IF(N(E27)&gt;0,60/E27,"")</f>
        <v/>
      </c>
      <c r="G27" s="58" t="str">
        <f>IF(A27="","",IF(COUNTIF($A$6:$A$305,A27)&gt;1,"Référence en double",IF(C27="","Poste manquant",IF(ISNA(MATCH(C27,po_code,0)),"Poste inconnu",IF(N(E27)&lt;=0,"Temps par pièce manquant","OK")))))</f>
        <v/>
      </c>
    </row>
    <row r="28">
      <c r="A28" s="53" t="n"/>
      <c r="B28" s="53" t="n"/>
      <c r="C28" s="57" t="n"/>
      <c r="D28" s="92" t="n"/>
      <c r="E28" s="93" t="n"/>
      <c r="F28" s="59" t="str">
        <f>IF(N(E28)&gt;0,60/E28,"")</f>
        <v/>
      </c>
      <c r="G28" s="58" t="str">
        <f>IF(A28="","",IF(COUNTIF($A$6:$A$305,A28)&gt;1,"Référence en double",IF(C28="","Poste manquant",IF(ISNA(MATCH(C28,po_code,0)),"Poste inconnu",IF(N(E28)&lt;=0,"Temps par pièce manquant","OK")))))</f>
        <v/>
      </c>
    </row>
    <row r="29">
      <c r="A29" s="53" t="n"/>
      <c r="B29" s="53" t="n"/>
      <c r="C29" s="57" t="n"/>
      <c r="D29" s="92" t="n"/>
      <c r="E29" s="93" t="n"/>
      <c r="F29" s="59" t="str">
        <f>IF(N(E29)&gt;0,60/E29,"")</f>
        <v/>
      </c>
      <c r="G29" s="58" t="str">
        <f>IF(A29="","",IF(COUNTIF($A$6:$A$305,A29)&gt;1,"Référence en double",IF(C29="","Poste manquant",IF(ISNA(MATCH(C29,po_code,0)),"Poste inconnu",IF(N(E29)&lt;=0,"Temps par pièce manquant","OK")))))</f>
        <v/>
      </c>
    </row>
    <row r="30">
      <c r="A30" s="53" t="n"/>
      <c r="B30" s="53" t="n"/>
      <c r="C30" s="57" t="n"/>
      <c r="D30" s="92" t="n"/>
      <c r="E30" s="93" t="n"/>
      <c r="F30" s="59" t="str">
        <f>IF(N(E30)&gt;0,60/E30,"")</f>
        <v/>
      </c>
      <c r="G30" s="58" t="str">
        <f>IF(A30="","",IF(COUNTIF($A$6:$A$305,A30)&gt;1,"Référence en double",IF(C30="","Poste manquant",IF(ISNA(MATCH(C30,po_code,0)),"Poste inconnu",IF(N(E30)&lt;=0,"Temps par pièce manquant","OK")))))</f>
        <v/>
      </c>
    </row>
    <row r="31">
      <c r="A31" s="53" t="n"/>
      <c r="B31" s="53" t="n"/>
      <c r="C31" s="57" t="n"/>
      <c r="D31" s="92" t="n"/>
      <c r="E31" s="93" t="n"/>
      <c r="F31" s="59" t="str">
        <f>IF(N(E31)&gt;0,60/E31,"")</f>
        <v/>
      </c>
      <c r="G31" s="58" t="str">
        <f>IF(A31="","",IF(COUNTIF($A$6:$A$305,A31)&gt;1,"Référence en double",IF(C31="","Poste manquant",IF(ISNA(MATCH(C31,po_code,0)),"Poste inconnu",IF(N(E31)&lt;=0,"Temps par pièce manquant","OK")))))</f>
        <v/>
      </c>
    </row>
    <row r="32">
      <c r="A32" s="53" t="n"/>
      <c r="B32" s="53" t="n"/>
      <c r="C32" s="57" t="n"/>
      <c r="D32" s="92" t="n"/>
      <c r="E32" s="93" t="n"/>
      <c r="F32" s="59" t="str">
        <f>IF(N(E32)&gt;0,60/E32,"")</f>
        <v/>
      </c>
      <c r="G32" s="58" t="str">
        <f>IF(A32="","",IF(COUNTIF($A$6:$A$305,A32)&gt;1,"Référence en double",IF(C32="","Poste manquant",IF(ISNA(MATCH(C32,po_code,0)),"Poste inconnu",IF(N(E32)&lt;=0,"Temps par pièce manquant","OK")))))</f>
        <v/>
      </c>
    </row>
    <row r="33">
      <c r="A33" s="53" t="n"/>
      <c r="B33" s="53" t="n"/>
      <c r="C33" s="57" t="n"/>
      <c r="D33" s="92" t="n"/>
      <c r="E33" s="93" t="n"/>
      <c r="F33" s="59" t="str">
        <f>IF(N(E33)&gt;0,60/E33,"")</f>
        <v/>
      </c>
      <c r="G33" s="58" t="str">
        <f>IF(A33="","",IF(COUNTIF($A$6:$A$305,A33)&gt;1,"Référence en double",IF(C33="","Poste manquant",IF(ISNA(MATCH(C33,po_code,0)),"Poste inconnu",IF(N(E33)&lt;=0,"Temps par pièce manquant","OK")))))</f>
        <v/>
      </c>
    </row>
    <row r="34">
      <c r="A34" s="53" t="n"/>
      <c r="B34" s="53" t="n"/>
      <c r="C34" s="57" t="n"/>
      <c r="D34" s="92" t="n"/>
      <c r="E34" s="93" t="n"/>
      <c r="F34" s="59" t="str">
        <f>IF(N(E34)&gt;0,60/E34,"")</f>
        <v/>
      </c>
      <c r="G34" s="58" t="str">
        <f>IF(A34="","",IF(COUNTIF($A$6:$A$305,A34)&gt;1,"Référence en double",IF(C34="","Poste manquant",IF(ISNA(MATCH(C34,po_code,0)),"Poste inconnu",IF(N(E34)&lt;=0,"Temps par pièce manquant","OK")))))</f>
        <v/>
      </c>
    </row>
    <row r="35">
      <c r="A35" s="53" t="n"/>
      <c r="B35" s="53" t="n"/>
      <c r="C35" s="57" t="n"/>
      <c r="D35" s="92" t="n"/>
      <c r="E35" s="93" t="n"/>
      <c r="F35" s="59" t="str">
        <f>IF(N(E35)&gt;0,60/E35,"")</f>
        <v/>
      </c>
      <c r="G35" s="58" t="str">
        <f>IF(A35="","",IF(COUNTIF($A$6:$A$305,A35)&gt;1,"Référence en double",IF(C35="","Poste manquant",IF(ISNA(MATCH(C35,po_code,0)),"Poste inconnu",IF(N(E35)&lt;=0,"Temps par pièce manquant","OK")))))</f>
        <v/>
      </c>
    </row>
    <row r="36">
      <c r="A36" s="53" t="n"/>
      <c r="B36" s="53" t="n"/>
      <c r="C36" s="57" t="n"/>
      <c r="D36" s="92" t="n"/>
      <c r="E36" s="93" t="n"/>
      <c r="F36" s="59" t="str">
        <f>IF(N(E36)&gt;0,60/E36,"")</f>
        <v/>
      </c>
      <c r="G36" s="58" t="str">
        <f>IF(A36="","",IF(COUNTIF($A$6:$A$305,A36)&gt;1,"Référence en double",IF(C36="","Poste manquant",IF(ISNA(MATCH(C36,po_code,0)),"Poste inconnu",IF(N(E36)&lt;=0,"Temps par pièce manquant","OK")))))</f>
        <v/>
      </c>
    </row>
    <row r="37">
      <c r="A37" s="53" t="n"/>
      <c r="B37" s="53" t="n"/>
      <c r="C37" s="57" t="n"/>
      <c r="D37" s="92" t="n"/>
      <c r="E37" s="93" t="n"/>
      <c r="F37" s="59" t="str">
        <f>IF(N(E37)&gt;0,60/E37,"")</f>
        <v/>
      </c>
      <c r="G37" s="58" t="str">
        <f>IF(A37="","",IF(COUNTIF($A$6:$A$305,A37)&gt;1,"Référence en double",IF(C37="","Poste manquant",IF(ISNA(MATCH(C37,po_code,0)),"Poste inconnu",IF(N(E37)&lt;=0,"Temps par pièce manquant","OK")))))</f>
        <v/>
      </c>
    </row>
    <row r="38">
      <c r="A38" s="53" t="n"/>
      <c r="B38" s="53" t="n"/>
      <c r="C38" s="57" t="n"/>
      <c r="D38" s="92" t="n"/>
      <c r="E38" s="93" t="n"/>
      <c r="F38" s="59" t="str">
        <f>IF(N(E38)&gt;0,60/E38,"")</f>
        <v/>
      </c>
      <c r="G38" s="58" t="str">
        <f>IF(A38="","",IF(COUNTIF($A$6:$A$305,A38)&gt;1,"Référence en double",IF(C38="","Poste manquant",IF(ISNA(MATCH(C38,po_code,0)),"Poste inconnu",IF(N(E38)&lt;=0,"Temps par pièce manquant","OK")))))</f>
        <v/>
      </c>
    </row>
    <row r="39">
      <c r="A39" s="53" t="n"/>
      <c r="B39" s="53" t="n"/>
      <c r="C39" s="57" t="n"/>
      <c r="D39" s="92" t="n"/>
      <c r="E39" s="93" t="n"/>
      <c r="F39" s="59" t="str">
        <f>IF(N(E39)&gt;0,60/E39,"")</f>
        <v/>
      </c>
      <c r="G39" s="58" t="str">
        <f>IF(A39="","",IF(COUNTIF($A$6:$A$305,A39)&gt;1,"Référence en double",IF(C39="","Poste manquant",IF(ISNA(MATCH(C39,po_code,0)),"Poste inconnu",IF(N(E39)&lt;=0,"Temps par pièce manquant","OK")))))</f>
        <v/>
      </c>
    </row>
    <row r="40">
      <c r="A40" s="53" t="n"/>
      <c r="B40" s="53" t="n"/>
      <c r="C40" s="57" t="n"/>
      <c r="D40" s="92" t="n"/>
      <c r="E40" s="93" t="n"/>
      <c r="F40" s="59" t="str">
        <f>IF(N(E40)&gt;0,60/E40,"")</f>
        <v/>
      </c>
      <c r="G40" s="58" t="str">
        <f>IF(A40="","",IF(COUNTIF($A$6:$A$305,A40)&gt;1,"Référence en double",IF(C40="","Poste manquant",IF(ISNA(MATCH(C40,po_code,0)),"Poste inconnu",IF(N(E40)&lt;=0,"Temps par pièce manquant","OK")))))</f>
        <v/>
      </c>
    </row>
    <row r="41">
      <c r="A41" s="53" t="n"/>
      <c r="B41" s="53" t="n"/>
      <c r="C41" s="57" t="n"/>
      <c r="D41" s="92" t="n"/>
      <c r="E41" s="93" t="n"/>
      <c r="F41" s="59" t="str">
        <f>IF(N(E41)&gt;0,60/E41,"")</f>
        <v/>
      </c>
      <c r="G41" s="58" t="str">
        <f>IF(A41="","",IF(COUNTIF($A$6:$A$305,A41)&gt;1,"Référence en double",IF(C41="","Poste manquant",IF(ISNA(MATCH(C41,po_code,0)),"Poste inconnu",IF(N(E41)&lt;=0,"Temps par pièce manquant","OK")))))</f>
        <v/>
      </c>
    </row>
    <row r="42">
      <c r="A42" s="53" t="n"/>
      <c r="B42" s="53" t="n"/>
      <c r="C42" s="57" t="n"/>
      <c r="D42" s="92" t="n"/>
      <c r="E42" s="93" t="n"/>
      <c r="F42" s="59" t="str">
        <f>IF(N(E42)&gt;0,60/E42,"")</f>
        <v/>
      </c>
      <c r="G42" s="58" t="str">
        <f>IF(A42="","",IF(COUNTIF($A$6:$A$305,A42)&gt;1,"Référence en double",IF(C42="","Poste manquant",IF(ISNA(MATCH(C42,po_code,0)),"Poste inconnu",IF(N(E42)&lt;=0,"Temps par pièce manquant","OK")))))</f>
        <v/>
      </c>
    </row>
    <row r="43">
      <c r="A43" s="53" t="n"/>
      <c r="B43" s="53" t="n"/>
      <c r="C43" s="57" t="n"/>
      <c r="D43" s="92" t="n"/>
      <c r="E43" s="93" t="n"/>
      <c r="F43" s="59" t="str">
        <f>IF(N(E43)&gt;0,60/E43,"")</f>
        <v/>
      </c>
      <c r="G43" s="58" t="str">
        <f>IF(A43="","",IF(COUNTIF($A$6:$A$305,A43)&gt;1,"Référence en double",IF(C43="","Poste manquant",IF(ISNA(MATCH(C43,po_code,0)),"Poste inconnu",IF(N(E43)&lt;=0,"Temps par pièce manquant","OK")))))</f>
        <v/>
      </c>
    </row>
    <row r="44">
      <c r="A44" s="53" t="n"/>
      <c r="B44" s="53" t="n"/>
      <c r="C44" s="57" t="n"/>
      <c r="D44" s="92" t="n"/>
      <c r="E44" s="93" t="n"/>
      <c r="F44" s="59" t="str">
        <f>IF(N(E44)&gt;0,60/E44,"")</f>
        <v/>
      </c>
      <c r="G44" s="58" t="str">
        <f>IF(A44="","",IF(COUNTIF($A$6:$A$305,A44)&gt;1,"Référence en double",IF(C44="","Poste manquant",IF(ISNA(MATCH(C44,po_code,0)),"Poste inconnu",IF(N(E44)&lt;=0,"Temps par pièce manquant","OK")))))</f>
        <v/>
      </c>
    </row>
    <row r="45">
      <c r="A45" s="53" t="n"/>
      <c r="B45" s="53" t="n"/>
      <c r="C45" s="57" t="n"/>
      <c r="D45" s="92" t="n"/>
      <c r="E45" s="93" t="n"/>
      <c r="F45" s="59" t="str">
        <f>IF(N(E45)&gt;0,60/E45,"")</f>
        <v/>
      </c>
      <c r="G45" s="58" t="str">
        <f>IF(A45="","",IF(COUNTIF($A$6:$A$305,A45)&gt;1,"Référence en double",IF(C45="","Poste manquant",IF(ISNA(MATCH(C45,po_code,0)),"Poste inconnu",IF(N(E45)&lt;=0,"Temps par pièce manquant","OK")))))</f>
        <v/>
      </c>
    </row>
    <row r="46">
      <c r="A46" s="53" t="n"/>
      <c r="B46" s="53" t="n"/>
      <c r="C46" s="57" t="n"/>
      <c r="D46" s="92" t="n"/>
      <c r="E46" s="93" t="n"/>
      <c r="F46" s="59" t="str">
        <f>IF(N(E46)&gt;0,60/E46,"")</f>
        <v/>
      </c>
      <c r="G46" s="58" t="str">
        <f>IF(A46="","",IF(COUNTIF($A$6:$A$305,A46)&gt;1,"Référence en double",IF(C46="","Poste manquant",IF(ISNA(MATCH(C46,po_code,0)),"Poste inconnu",IF(N(E46)&lt;=0,"Temps par pièce manquant","OK")))))</f>
        <v/>
      </c>
    </row>
    <row r="47">
      <c r="A47" s="53" t="n"/>
      <c r="B47" s="53" t="n"/>
      <c r="C47" s="57" t="n"/>
      <c r="D47" s="92" t="n"/>
      <c r="E47" s="93" t="n"/>
      <c r="F47" s="59" t="str">
        <f>IF(N(E47)&gt;0,60/E47,"")</f>
        <v/>
      </c>
      <c r="G47" s="58" t="str">
        <f>IF(A47="","",IF(COUNTIF($A$6:$A$305,A47)&gt;1,"Référence en double",IF(C47="","Poste manquant",IF(ISNA(MATCH(C47,po_code,0)),"Poste inconnu",IF(N(E47)&lt;=0,"Temps par pièce manquant","OK")))))</f>
        <v/>
      </c>
    </row>
    <row r="48">
      <c r="A48" s="53" t="n"/>
      <c r="B48" s="53" t="n"/>
      <c r="C48" s="57" t="n"/>
      <c r="D48" s="92" t="n"/>
      <c r="E48" s="93" t="n"/>
      <c r="F48" s="59" t="str">
        <f>IF(N(E48)&gt;0,60/E48,"")</f>
        <v/>
      </c>
      <c r="G48" s="58" t="str">
        <f>IF(A48="","",IF(COUNTIF($A$6:$A$305,A48)&gt;1,"Référence en double",IF(C48="","Poste manquant",IF(ISNA(MATCH(C48,po_code,0)),"Poste inconnu",IF(N(E48)&lt;=0,"Temps par pièce manquant","OK")))))</f>
        <v/>
      </c>
    </row>
    <row r="49">
      <c r="A49" s="53" t="n"/>
      <c r="B49" s="53" t="n"/>
      <c r="C49" s="57" t="n"/>
      <c r="D49" s="92" t="n"/>
      <c r="E49" s="93" t="n"/>
      <c r="F49" s="59" t="str">
        <f>IF(N(E49)&gt;0,60/E49,"")</f>
        <v/>
      </c>
      <c r="G49" s="58" t="str">
        <f>IF(A49="","",IF(COUNTIF($A$6:$A$305,A49)&gt;1,"Référence en double",IF(C49="","Poste manquant",IF(ISNA(MATCH(C49,po_code,0)),"Poste inconnu",IF(N(E49)&lt;=0,"Temps par pièce manquant","OK")))))</f>
        <v/>
      </c>
    </row>
    <row r="50">
      <c r="A50" s="53" t="n"/>
      <c r="B50" s="53" t="n"/>
      <c r="C50" s="57" t="n"/>
      <c r="D50" s="92" t="n"/>
      <c r="E50" s="93" t="n"/>
      <c r="F50" s="59" t="str">
        <f>IF(N(E50)&gt;0,60/E50,"")</f>
        <v/>
      </c>
      <c r="G50" s="58" t="str">
        <f>IF(A50="","",IF(COUNTIF($A$6:$A$305,A50)&gt;1,"Référence en double",IF(C50="","Poste manquant",IF(ISNA(MATCH(C50,po_code,0)),"Poste inconnu",IF(N(E50)&lt;=0,"Temps par pièce manquant","OK")))))</f>
        <v/>
      </c>
    </row>
    <row r="51">
      <c r="A51" s="53" t="n"/>
      <c r="B51" s="53" t="n"/>
      <c r="C51" s="57" t="n"/>
      <c r="D51" s="92" t="n"/>
      <c r="E51" s="93" t="n"/>
      <c r="F51" s="59" t="str">
        <f>IF(N(E51)&gt;0,60/E51,"")</f>
        <v/>
      </c>
      <c r="G51" s="58" t="str">
        <f>IF(A51="","",IF(COUNTIF($A$6:$A$305,A51)&gt;1,"Référence en double",IF(C51="","Poste manquant",IF(ISNA(MATCH(C51,po_code,0)),"Poste inconnu",IF(N(E51)&lt;=0,"Temps par pièce manquant","OK")))))</f>
        <v/>
      </c>
    </row>
    <row r="52">
      <c r="A52" s="53" t="n"/>
      <c r="B52" s="53" t="n"/>
      <c r="C52" s="57" t="n"/>
      <c r="D52" s="92" t="n"/>
      <c r="E52" s="93" t="n"/>
      <c r="F52" s="59" t="str">
        <f>IF(N(E52)&gt;0,60/E52,"")</f>
        <v/>
      </c>
      <c r="G52" s="58" t="str">
        <f>IF(A52="","",IF(COUNTIF($A$6:$A$305,A52)&gt;1,"Référence en double",IF(C52="","Poste manquant",IF(ISNA(MATCH(C52,po_code,0)),"Poste inconnu",IF(N(E52)&lt;=0,"Temps par pièce manquant","OK")))))</f>
        <v/>
      </c>
    </row>
    <row r="53">
      <c r="A53" s="53" t="n"/>
      <c r="B53" s="53" t="n"/>
      <c r="C53" s="57" t="n"/>
      <c r="D53" s="92" t="n"/>
      <c r="E53" s="93" t="n"/>
      <c r="F53" s="59" t="str">
        <f>IF(N(E53)&gt;0,60/E53,"")</f>
        <v/>
      </c>
      <c r="G53" s="58" t="str">
        <f>IF(A53="","",IF(COUNTIF($A$6:$A$305,A53)&gt;1,"Référence en double",IF(C53="","Poste manquant",IF(ISNA(MATCH(C53,po_code,0)),"Poste inconnu",IF(N(E53)&lt;=0,"Temps par pièce manquant","OK")))))</f>
        <v/>
      </c>
    </row>
    <row r="54">
      <c r="A54" s="53" t="n"/>
      <c r="B54" s="53" t="n"/>
      <c r="C54" s="57" t="n"/>
      <c r="D54" s="92" t="n"/>
      <c r="E54" s="93" t="n"/>
      <c r="F54" s="59" t="str">
        <f>IF(N(E54)&gt;0,60/E54,"")</f>
        <v/>
      </c>
      <c r="G54" s="58" t="str">
        <f>IF(A54="","",IF(COUNTIF($A$6:$A$305,A54)&gt;1,"Référence en double",IF(C54="","Poste manquant",IF(ISNA(MATCH(C54,po_code,0)),"Poste inconnu",IF(N(E54)&lt;=0,"Temps par pièce manquant","OK")))))</f>
        <v/>
      </c>
    </row>
    <row r="55">
      <c r="A55" s="53" t="n"/>
      <c r="B55" s="53" t="n"/>
      <c r="C55" s="57" t="n"/>
      <c r="D55" s="92" t="n"/>
      <c r="E55" s="93" t="n"/>
      <c r="F55" s="59" t="str">
        <f>IF(N(E55)&gt;0,60/E55,"")</f>
        <v/>
      </c>
      <c r="G55" s="58" t="str">
        <f>IF(A55="","",IF(COUNTIF($A$6:$A$305,A55)&gt;1,"Référence en double",IF(C55="","Poste manquant",IF(ISNA(MATCH(C55,po_code,0)),"Poste inconnu",IF(N(E55)&lt;=0,"Temps par pièce manquant","OK")))))</f>
        <v/>
      </c>
    </row>
    <row r="56">
      <c r="A56" s="53" t="n"/>
      <c r="B56" s="53" t="n"/>
      <c r="C56" s="57" t="n"/>
      <c r="D56" s="92" t="n"/>
      <c r="E56" s="93" t="n"/>
      <c r="F56" s="59" t="str">
        <f>IF(N(E56)&gt;0,60/E56,"")</f>
        <v/>
      </c>
      <c r="G56" s="58" t="str">
        <f>IF(A56="","",IF(COUNTIF($A$6:$A$305,A56)&gt;1,"Référence en double",IF(C56="","Poste manquant",IF(ISNA(MATCH(C56,po_code,0)),"Poste inconnu",IF(N(E56)&lt;=0,"Temps par pièce manquant","OK")))))</f>
        <v/>
      </c>
    </row>
    <row r="57">
      <c r="A57" s="53" t="n"/>
      <c r="B57" s="53" t="n"/>
      <c r="C57" s="57" t="n"/>
      <c r="D57" s="92" t="n"/>
      <c r="E57" s="93" t="n"/>
      <c r="F57" s="59" t="str">
        <f>IF(N(E57)&gt;0,60/E57,"")</f>
        <v/>
      </c>
      <c r="G57" s="58" t="str">
        <f>IF(A57="","",IF(COUNTIF($A$6:$A$305,A57)&gt;1,"Référence en double",IF(C57="","Poste manquant",IF(ISNA(MATCH(C57,po_code,0)),"Poste inconnu",IF(N(E57)&lt;=0,"Temps par pièce manquant","OK")))))</f>
        <v/>
      </c>
    </row>
    <row r="58">
      <c r="A58" s="53" t="n"/>
      <c r="B58" s="53" t="n"/>
      <c r="C58" s="57" t="n"/>
      <c r="D58" s="92" t="n"/>
      <c r="E58" s="93" t="n"/>
      <c r="F58" s="59" t="str">
        <f>IF(N(E58)&gt;0,60/E58,"")</f>
        <v/>
      </c>
      <c r="G58" s="58" t="str">
        <f>IF(A58="","",IF(COUNTIF($A$6:$A$305,A58)&gt;1,"Référence en double",IF(C58="","Poste manquant",IF(ISNA(MATCH(C58,po_code,0)),"Poste inconnu",IF(N(E58)&lt;=0,"Temps par pièce manquant","OK")))))</f>
        <v/>
      </c>
    </row>
    <row r="59">
      <c r="A59" s="53" t="n"/>
      <c r="B59" s="53" t="n"/>
      <c r="C59" s="57" t="n"/>
      <c r="D59" s="92" t="n"/>
      <c r="E59" s="93" t="n"/>
      <c r="F59" s="59" t="str">
        <f>IF(N(E59)&gt;0,60/E59,"")</f>
        <v/>
      </c>
      <c r="G59" s="58" t="str">
        <f>IF(A59="","",IF(COUNTIF($A$6:$A$305,A59)&gt;1,"Référence en double",IF(C59="","Poste manquant",IF(ISNA(MATCH(C59,po_code,0)),"Poste inconnu",IF(N(E59)&lt;=0,"Temps par pièce manquant","OK")))))</f>
        <v/>
      </c>
    </row>
    <row r="60">
      <c r="A60" s="53" t="n"/>
      <c r="B60" s="53" t="n"/>
      <c r="C60" s="57" t="n"/>
      <c r="D60" s="92" t="n"/>
      <c r="E60" s="93" t="n"/>
      <c r="F60" s="59" t="str">
        <f>IF(N(E60)&gt;0,60/E60,"")</f>
        <v/>
      </c>
      <c r="G60" s="58" t="str">
        <f>IF(A60="","",IF(COUNTIF($A$6:$A$305,A60)&gt;1,"Référence en double",IF(C60="","Poste manquant",IF(ISNA(MATCH(C60,po_code,0)),"Poste inconnu",IF(N(E60)&lt;=0,"Temps par pièce manquant","OK")))))</f>
        <v/>
      </c>
    </row>
    <row r="61">
      <c r="A61" s="53" t="n"/>
      <c r="B61" s="53" t="n"/>
      <c r="C61" s="57" t="n"/>
      <c r="D61" s="92" t="n"/>
      <c r="E61" s="93" t="n"/>
      <c r="F61" s="59" t="str">
        <f>IF(N(E61)&gt;0,60/E61,"")</f>
        <v/>
      </c>
      <c r="G61" s="58" t="str">
        <f>IF(A61="","",IF(COUNTIF($A$6:$A$305,A61)&gt;1,"Référence en double",IF(C61="","Poste manquant",IF(ISNA(MATCH(C61,po_code,0)),"Poste inconnu",IF(N(E61)&lt;=0,"Temps par pièce manquant","OK")))))</f>
        <v/>
      </c>
    </row>
    <row r="62">
      <c r="A62" s="53" t="n"/>
      <c r="B62" s="53" t="n"/>
      <c r="C62" s="57" t="n"/>
      <c r="D62" s="92" t="n"/>
      <c r="E62" s="93" t="n"/>
      <c r="F62" s="59" t="str">
        <f>IF(N(E62)&gt;0,60/E62,"")</f>
        <v/>
      </c>
      <c r="G62" s="58" t="str">
        <f>IF(A62="","",IF(COUNTIF($A$6:$A$305,A62)&gt;1,"Référence en double",IF(C62="","Poste manquant",IF(ISNA(MATCH(C62,po_code,0)),"Poste inconnu",IF(N(E62)&lt;=0,"Temps par pièce manquant","OK")))))</f>
        <v/>
      </c>
    </row>
    <row r="63">
      <c r="A63" s="53" t="n"/>
      <c r="B63" s="53" t="n"/>
      <c r="C63" s="57" t="n"/>
      <c r="D63" s="92" t="n"/>
      <c r="E63" s="93" t="n"/>
      <c r="F63" s="59" t="str">
        <f>IF(N(E63)&gt;0,60/E63,"")</f>
        <v/>
      </c>
      <c r="G63" s="58" t="str">
        <f>IF(A63="","",IF(COUNTIF($A$6:$A$305,A63)&gt;1,"Référence en double",IF(C63="","Poste manquant",IF(ISNA(MATCH(C63,po_code,0)),"Poste inconnu",IF(N(E63)&lt;=0,"Temps par pièce manquant","OK")))))</f>
        <v/>
      </c>
    </row>
    <row r="64">
      <c r="A64" s="53" t="n"/>
      <c r="B64" s="53" t="n"/>
      <c r="C64" s="57" t="n"/>
      <c r="D64" s="92" t="n"/>
      <c r="E64" s="93" t="n"/>
      <c r="F64" s="59" t="str">
        <f>IF(N(E64)&gt;0,60/E64,"")</f>
        <v/>
      </c>
      <c r="G64" s="58" t="str">
        <f>IF(A64="","",IF(COUNTIF($A$6:$A$305,A64)&gt;1,"Référence en double",IF(C64="","Poste manquant",IF(ISNA(MATCH(C64,po_code,0)),"Poste inconnu",IF(N(E64)&lt;=0,"Temps par pièce manquant","OK")))))</f>
        <v/>
      </c>
    </row>
    <row r="65">
      <c r="A65" s="53" t="n"/>
      <c r="B65" s="53" t="n"/>
      <c r="C65" s="57" t="n"/>
      <c r="D65" s="92" t="n"/>
      <c r="E65" s="93" t="n"/>
      <c r="F65" s="59" t="str">
        <f>IF(N(E65)&gt;0,60/E65,"")</f>
        <v/>
      </c>
      <c r="G65" s="58" t="str">
        <f>IF(A65="","",IF(COUNTIF($A$6:$A$305,A65)&gt;1,"Référence en double",IF(C65="","Poste manquant",IF(ISNA(MATCH(C65,po_code,0)),"Poste inconnu",IF(N(E65)&lt;=0,"Temps par pièce manquant","OK")))))</f>
        <v/>
      </c>
    </row>
    <row r="66">
      <c r="A66" s="53" t="n"/>
      <c r="B66" s="53" t="n"/>
      <c r="C66" s="57" t="n"/>
      <c r="D66" s="92" t="n"/>
      <c r="E66" s="93" t="n"/>
      <c r="F66" s="59" t="str">
        <f>IF(N(E66)&gt;0,60/E66,"")</f>
        <v/>
      </c>
      <c r="G66" s="58" t="str">
        <f>IF(A66="","",IF(COUNTIF($A$6:$A$305,A66)&gt;1,"Référence en double",IF(C66="","Poste manquant",IF(ISNA(MATCH(C66,po_code,0)),"Poste inconnu",IF(N(E66)&lt;=0,"Temps par pièce manquant","OK")))))</f>
        <v/>
      </c>
    </row>
    <row r="67">
      <c r="A67" s="53" t="n"/>
      <c r="B67" s="53" t="n"/>
      <c r="C67" s="57" t="n"/>
      <c r="D67" s="92" t="n"/>
      <c r="E67" s="93" t="n"/>
      <c r="F67" s="59" t="str">
        <f>IF(N(E67)&gt;0,60/E67,"")</f>
        <v/>
      </c>
      <c r="G67" s="58" t="str">
        <f>IF(A67="","",IF(COUNTIF($A$6:$A$305,A67)&gt;1,"Référence en double",IF(C67="","Poste manquant",IF(ISNA(MATCH(C67,po_code,0)),"Poste inconnu",IF(N(E67)&lt;=0,"Temps par pièce manquant","OK")))))</f>
        <v/>
      </c>
    </row>
    <row r="68">
      <c r="A68" s="53" t="n"/>
      <c r="B68" s="53" t="n"/>
      <c r="C68" s="57" t="n"/>
      <c r="D68" s="92" t="n"/>
      <c r="E68" s="93" t="n"/>
      <c r="F68" s="59" t="str">
        <f>IF(N(E68)&gt;0,60/E68,"")</f>
        <v/>
      </c>
      <c r="G68" s="58" t="str">
        <f>IF(A68="","",IF(COUNTIF($A$6:$A$305,A68)&gt;1,"Référence en double",IF(C68="","Poste manquant",IF(ISNA(MATCH(C68,po_code,0)),"Poste inconnu",IF(N(E68)&lt;=0,"Temps par pièce manquant","OK")))))</f>
        <v/>
      </c>
    </row>
    <row r="69">
      <c r="A69" s="53" t="n"/>
      <c r="B69" s="53" t="n"/>
      <c r="C69" s="57" t="n"/>
      <c r="D69" s="92" t="n"/>
      <c r="E69" s="93" t="n"/>
      <c r="F69" s="59" t="str">
        <f>IF(N(E69)&gt;0,60/E69,"")</f>
        <v/>
      </c>
      <c r="G69" s="58" t="str">
        <f>IF(A69="","",IF(COUNTIF($A$6:$A$305,A69)&gt;1,"Référence en double",IF(C69="","Poste manquant",IF(ISNA(MATCH(C69,po_code,0)),"Poste inconnu",IF(N(E69)&lt;=0,"Temps par pièce manquant","OK")))))</f>
        <v/>
      </c>
    </row>
    <row r="70">
      <c r="A70" s="53" t="n"/>
      <c r="B70" s="53" t="n"/>
      <c r="C70" s="57" t="n"/>
      <c r="D70" s="92" t="n"/>
      <c r="E70" s="93" t="n"/>
      <c r="F70" s="59" t="str">
        <f>IF(N(E70)&gt;0,60/E70,"")</f>
        <v/>
      </c>
      <c r="G70" s="58" t="str">
        <f>IF(A70="","",IF(COUNTIF($A$6:$A$305,A70)&gt;1,"Référence en double",IF(C70="","Poste manquant",IF(ISNA(MATCH(C70,po_code,0)),"Poste inconnu",IF(N(E70)&lt;=0,"Temps par pièce manquant","OK")))))</f>
        <v/>
      </c>
    </row>
    <row r="71">
      <c r="A71" s="53" t="n"/>
      <c r="B71" s="53" t="n"/>
      <c r="C71" s="57" t="n"/>
      <c r="D71" s="92" t="n"/>
      <c r="E71" s="93" t="n"/>
      <c r="F71" s="59" t="str">
        <f>IF(N(E71)&gt;0,60/E71,"")</f>
        <v/>
      </c>
      <c r="G71" s="58" t="str">
        <f>IF(A71="","",IF(COUNTIF($A$6:$A$305,A71)&gt;1,"Référence en double",IF(C71="","Poste manquant",IF(ISNA(MATCH(C71,po_code,0)),"Poste inconnu",IF(N(E71)&lt;=0,"Temps par pièce manquant","OK")))))</f>
        <v/>
      </c>
    </row>
    <row r="72">
      <c r="A72" s="53" t="n"/>
      <c r="B72" s="53" t="n"/>
      <c r="C72" s="57" t="n"/>
      <c r="D72" s="92" t="n"/>
      <c r="E72" s="93" t="n"/>
      <c r="F72" s="59" t="str">
        <f>IF(N(E72)&gt;0,60/E72,"")</f>
        <v/>
      </c>
      <c r="G72" s="58" t="str">
        <f>IF(A72="","",IF(COUNTIF($A$6:$A$305,A72)&gt;1,"Référence en double",IF(C72="","Poste manquant",IF(ISNA(MATCH(C72,po_code,0)),"Poste inconnu",IF(N(E72)&lt;=0,"Temps par pièce manquant","OK")))))</f>
        <v/>
      </c>
    </row>
    <row r="73">
      <c r="A73" s="53" t="n"/>
      <c r="B73" s="53" t="n"/>
      <c r="C73" s="57" t="n"/>
      <c r="D73" s="92" t="n"/>
      <c r="E73" s="93" t="n"/>
      <c r="F73" s="59" t="str">
        <f>IF(N(E73)&gt;0,60/E73,"")</f>
        <v/>
      </c>
      <c r="G73" s="58" t="str">
        <f>IF(A73="","",IF(COUNTIF($A$6:$A$305,A73)&gt;1,"Référence en double",IF(C73="","Poste manquant",IF(ISNA(MATCH(C73,po_code,0)),"Poste inconnu",IF(N(E73)&lt;=0,"Temps par pièce manquant","OK")))))</f>
        <v/>
      </c>
    </row>
    <row r="74">
      <c r="A74" s="53" t="n"/>
      <c r="B74" s="53" t="n"/>
      <c r="C74" s="57" t="n"/>
      <c r="D74" s="92" t="n"/>
      <c r="E74" s="93" t="n"/>
      <c r="F74" s="59" t="str">
        <f>IF(N(E74)&gt;0,60/E74,"")</f>
        <v/>
      </c>
      <c r="G74" s="58" t="str">
        <f>IF(A74="","",IF(COUNTIF($A$6:$A$305,A74)&gt;1,"Référence en double",IF(C74="","Poste manquant",IF(ISNA(MATCH(C74,po_code,0)),"Poste inconnu",IF(N(E74)&lt;=0,"Temps par pièce manquant","OK")))))</f>
        <v/>
      </c>
    </row>
    <row r="75">
      <c r="A75" s="53" t="n"/>
      <c r="B75" s="53" t="n"/>
      <c r="C75" s="57" t="n"/>
      <c r="D75" s="92" t="n"/>
      <c r="E75" s="93" t="n"/>
      <c r="F75" s="59" t="str">
        <f>IF(N(E75)&gt;0,60/E75,"")</f>
        <v/>
      </c>
      <c r="G75" s="58" t="str">
        <f>IF(A75="","",IF(COUNTIF($A$6:$A$305,A75)&gt;1,"Référence en double",IF(C75="","Poste manquant",IF(ISNA(MATCH(C75,po_code,0)),"Poste inconnu",IF(N(E75)&lt;=0,"Temps par pièce manquant","OK")))))</f>
        <v/>
      </c>
    </row>
    <row r="76">
      <c r="A76" s="53" t="n"/>
      <c r="B76" s="53" t="n"/>
      <c r="C76" s="57" t="n"/>
      <c r="D76" s="92" t="n"/>
      <c r="E76" s="93" t="n"/>
      <c r="F76" s="59" t="str">
        <f>IF(N(E76)&gt;0,60/E76,"")</f>
        <v/>
      </c>
      <c r="G76" s="58" t="str">
        <f>IF(A76="","",IF(COUNTIF($A$6:$A$305,A76)&gt;1,"Référence en double",IF(C76="","Poste manquant",IF(ISNA(MATCH(C76,po_code,0)),"Poste inconnu",IF(N(E76)&lt;=0,"Temps par pièce manquant","OK")))))</f>
        <v/>
      </c>
    </row>
    <row r="77">
      <c r="A77" s="53" t="n"/>
      <c r="B77" s="53" t="n"/>
      <c r="C77" s="57" t="n"/>
      <c r="D77" s="92" t="n"/>
      <c r="E77" s="93" t="n"/>
      <c r="F77" s="59" t="str">
        <f>IF(N(E77)&gt;0,60/E77,"")</f>
        <v/>
      </c>
      <c r="G77" s="58" t="str">
        <f>IF(A77="","",IF(COUNTIF($A$6:$A$305,A77)&gt;1,"Référence en double",IF(C77="","Poste manquant",IF(ISNA(MATCH(C77,po_code,0)),"Poste inconnu",IF(N(E77)&lt;=0,"Temps par pièce manquant","OK")))))</f>
        <v/>
      </c>
    </row>
    <row r="78">
      <c r="A78" s="53" t="n"/>
      <c r="B78" s="53" t="n"/>
      <c r="C78" s="57" t="n"/>
      <c r="D78" s="92" t="n"/>
      <c r="E78" s="93" t="n"/>
      <c r="F78" s="59" t="str">
        <f>IF(N(E78)&gt;0,60/E78,"")</f>
        <v/>
      </c>
      <c r="G78" s="58" t="str">
        <f>IF(A78="","",IF(COUNTIF($A$6:$A$305,A78)&gt;1,"Référence en double",IF(C78="","Poste manquant",IF(ISNA(MATCH(C78,po_code,0)),"Poste inconnu",IF(N(E78)&lt;=0,"Temps par pièce manquant","OK")))))</f>
        <v/>
      </c>
    </row>
    <row r="79">
      <c r="A79" s="53" t="n"/>
      <c r="B79" s="53" t="n"/>
      <c r="C79" s="57" t="n"/>
      <c r="D79" s="92" t="n"/>
      <c r="E79" s="93" t="n"/>
      <c r="F79" s="59" t="str">
        <f>IF(N(E79)&gt;0,60/E79,"")</f>
        <v/>
      </c>
      <c r="G79" s="58" t="str">
        <f>IF(A79="","",IF(COUNTIF($A$6:$A$305,A79)&gt;1,"Référence en double",IF(C79="","Poste manquant",IF(ISNA(MATCH(C79,po_code,0)),"Poste inconnu",IF(N(E79)&lt;=0,"Temps par pièce manquant","OK")))))</f>
        <v/>
      </c>
    </row>
    <row r="80">
      <c r="A80" s="53" t="n"/>
      <c r="B80" s="53" t="n"/>
      <c r="C80" s="57" t="n"/>
      <c r="D80" s="92" t="n"/>
      <c r="E80" s="93" t="n"/>
      <c r="F80" s="59" t="str">
        <f>IF(N(E80)&gt;0,60/E80,"")</f>
        <v/>
      </c>
      <c r="G80" s="58" t="str">
        <f>IF(A80="","",IF(COUNTIF($A$6:$A$305,A80)&gt;1,"Référence en double",IF(C80="","Poste manquant",IF(ISNA(MATCH(C80,po_code,0)),"Poste inconnu",IF(N(E80)&lt;=0,"Temps par pièce manquant","OK")))))</f>
        <v/>
      </c>
    </row>
    <row r="81">
      <c r="A81" s="53" t="n"/>
      <c r="B81" s="53" t="n"/>
      <c r="C81" s="57" t="n"/>
      <c r="D81" s="92" t="n"/>
      <c r="E81" s="93" t="n"/>
      <c r="F81" s="59" t="str">
        <f>IF(N(E81)&gt;0,60/E81,"")</f>
        <v/>
      </c>
      <c r="G81" s="58" t="str">
        <f>IF(A81="","",IF(COUNTIF($A$6:$A$305,A81)&gt;1,"Référence en double",IF(C81="","Poste manquant",IF(ISNA(MATCH(C81,po_code,0)),"Poste inconnu",IF(N(E81)&lt;=0,"Temps par pièce manquant","OK")))))</f>
        <v/>
      </c>
    </row>
    <row r="82">
      <c r="A82" s="53" t="n"/>
      <c r="B82" s="53" t="n"/>
      <c r="C82" s="57" t="n"/>
      <c r="D82" s="92" t="n"/>
      <c r="E82" s="93" t="n"/>
      <c r="F82" s="59" t="str">
        <f>IF(N(E82)&gt;0,60/E82,"")</f>
        <v/>
      </c>
      <c r="G82" s="58" t="str">
        <f>IF(A82="","",IF(COUNTIF($A$6:$A$305,A82)&gt;1,"Référence en double",IF(C82="","Poste manquant",IF(ISNA(MATCH(C82,po_code,0)),"Poste inconnu",IF(N(E82)&lt;=0,"Temps par pièce manquant","OK")))))</f>
        <v/>
      </c>
    </row>
    <row r="83">
      <c r="A83" s="53" t="n"/>
      <c r="B83" s="53" t="n"/>
      <c r="C83" s="57" t="n"/>
      <c r="D83" s="92" t="n"/>
      <c r="E83" s="93" t="n"/>
      <c r="F83" s="59" t="str">
        <f>IF(N(E83)&gt;0,60/E83,"")</f>
        <v/>
      </c>
      <c r="G83" s="58" t="str">
        <f>IF(A83="","",IF(COUNTIF($A$6:$A$305,A83)&gt;1,"Référence en double",IF(C83="","Poste manquant",IF(ISNA(MATCH(C83,po_code,0)),"Poste inconnu",IF(N(E83)&lt;=0,"Temps par pièce manquant","OK")))))</f>
        <v/>
      </c>
    </row>
    <row r="84">
      <c r="A84" s="53" t="n"/>
      <c r="B84" s="53" t="n"/>
      <c r="C84" s="57" t="n"/>
      <c r="D84" s="92" t="n"/>
      <c r="E84" s="93" t="n"/>
      <c r="F84" s="59" t="str">
        <f>IF(N(E84)&gt;0,60/E84,"")</f>
        <v/>
      </c>
      <c r="G84" s="58" t="str">
        <f>IF(A84="","",IF(COUNTIF($A$6:$A$305,A84)&gt;1,"Référence en double",IF(C84="","Poste manquant",IF(ISNA(MATCH(C84,po_code,0)),"Poste inconnu",IF(N(E84)&lt;=0,"Temps par pièce manquant","OK")))))</f>
        <v/>
      </c>
    </row>
    <row r="85">
      <c r="A85" s="53" t="n"/>
      <c r="B85" s="53" t="n"/>
      <c r="C85" s="57" t="n"/>
      <c r="D85" s="92" t="n"/>
      <c r="E85" s="93" t="n"/>
      <c r="F85" s="59" t="str">
        <f>IF(N(E85)&gt;0,60/E85,"")</f>
        <v/>
      </c>
      <c r="G85" s="58" t="str">
        <f>IF(A85="","",IF(COUNTIF($A$6:$A$305,A85)&gt;1,"Référence en double",IF(C85="","Poste manquant",IF(ISNA(MATCH(C85,po_code,0)),"Poste inconnu",IF(N(E85)&lt;=0,"Temps par pièce manquant","OK")))))</f>
        <v/>
      </c>
    </row>
    <row r="86">
      <c r="A86" s="53" t="n"/>
      <c r="B86" s="53" t="n"/>
      <c r="C86" s="57" t="n"/>
      <c r="D86" s="92" t="n"/>
      <c r="E86" s="93" t="n"/>
      <c r="F86" s="59" t="str">
        <f>IF(N(E86)&gt;0,60/E86,"")</f>
        <v/>
      </c>
      <c r="G86" s="58" t="str">
        <f>IF(A86="","",IF(COUNTIF($A$6:$A$305,A86)&gt;1,"Référence en double",IF(C86="","Poste manquant",IF(ISNA(MATCH(C86,po_code,0)),"Poste inconnu",IF(N(E86)&lt;=0,"Temps par pièce manquant","OK")))))</f>
        <v/>
      </c>
    </row>
    <row r="87">
      <c r="A87" s="53" t="n"/>
      <c r="B87" s="53" t="n"/>
      <c r="C87" s="57" t="n"/>
      <c r="D87" s="92" t="n"/>
      <c r="E87" s="93" t="n"/>
      <c r="F87" s="59" t="str">
        <f>IF(N(E87)&gt;0,60/E87,"")</f>
        <v/>
      </c>
      <c r="G87" s="58" t="str">
        <f>IF(A87="","",IF(COUNTIF($A$6:$A$305,A87)&gt;1,"Référence en double",IF(C87="","Poste manquant",IF(ISNA(MATCH(C87,po_code,0)),"Poste inconnu",IF(N(E87)&lt;=0,"Temps par pièce manquant","OK")))))</f>
        <v/>
      </c>
    </row>
    <row r="88">
      <c r="A88" s="53" t="n"/>
      <c r="B88" s="53" t="n"/>
      <c r="C88" s="57" t="n"/>
      <c r="D88" s="92" t="n"/>
      <c r="E88" s="93" t="n"/>
      <c r="F88" s="59" t="str">
        <f>IF(N(E88)&gt;0,60/E88,"")</f>
        <v/>
      </c>
      <c r="G88" s="58" t="str">
        <f>IF(A88="","",IF(COUNTIF($A$6:$A$305,A88)&gt;1,"Référence en double",IF(C88="","Poste manquant",IF(ISNA(MATCH(C88,po_code,0)),"Poste inconnu",IF(N(E88)&lt;=0,"Temps par pièce manquant","OK")))))</f>
        <v/>
      </c>
    </row>
    <row r="89">
      <c r="A89" s="53" t="n"/>
      <c r="B89" s="53" t="n"/>
      <c r="C89" s="57" t="n"/>
      <c r="D89" s="92" t="n"/>
      <c r="E89" s="93" t="n"/>
      <c r="F89" s="59" t="str">
        <f>IF(N(E89)&gt;0,60/E89,"")</f>
        <v/>
      </c>
      <c r="G89" s="58" t="str">
        <f>IF(A89="","",IF(COUNTIF($A$6:$A$305,A89)&gt;1,"Référence en double",IF(C89="","Poste manquant",IF(ISNA(MATCH(C89,po_code,0)),"Poste inconnu",IF(N(E89)&lt;=0,"Temps par pièce manquant","OK")))))</f>
        <v/>
      </c>
    </row>
    <row r="90">
      <c r="A90" s="53" t="n"/>
      <c r="B90" s="53" t="n"/>
      <c r="C90" s="57" t="n"/>
      <c r="D90" s="92" t="n"/>
      <c r="E90" s="93" t="n"/>
      <c r="F90" s="59" t="str">
        <f>IF(N(E90)&gt;0,60/E90,"")</f>
        <v/>
      </c>
      <c r="G90" s="58" t="str">
        <f>IF(A90="","",IF(COUNTIF($A$6:$A$305,A90)&gt;1,"Référence en double",IF(C90="","Poste manquant",IF(ISNA(MATCH(C90,po_code,0)),"Poste inconnu",IF(N(E90)&lt;=0,"Temps par pièce manquant","OK")))))</f>
        <v/>
      </c>
    </row>
    <row r="91">
      <c r="A91" s="53" t="n"/>
      <c r="B91" s="53" t="n"/>
      <c r="C91" s="57" t="n"/>
      <c r="D91" s="92" t="n"/>
      <c r="E91" s="93" t="n"/>
      <c r="F91" s="59" t="str">
        <f>IF(N(E91)&gt;0,60/E91,"")</f>
        <v/>
      </c>
      <c r="G91" s="58" t="str">
        <f>IF(A91="","",IF(COUNTIF($A$6:$A$305,A91)&gt;1,"Référence en double",IF(C91="","Poste manquant",IF(ISNA(MATCH(C91,po_code,0)),"Poste inconnu",IF(N(E91)&lt;=0,"Temps par pièce manquant","OK")))))</f>
        <v/>
      </c>
    </row>
    <row r="92">
      <c r="A92" s="53" t="n"/>
      <c r="B92" s="53" t="n"/>
      <c r="C92" s="57" t="n"/>
      <c r="D92" s="92" t="n"/>
      <c r="E92" s="93" t="n"/>
      <c r="F92" s="59" t="str">
        <f>IF(N(E92)&gt;0,60/E92,"")</f>
        <v/>
      </c>
      <c r="G92" s="58" t="str">
        <f>IF(A92="","",IF(COUNTIF($A$6:$A$305,A92)&gt;1,"Référence en double",IF(C92="","Poste manquant",IF(ISNA(MATCH(C92,po_code,0)),"Poste inconnu",IF(N(E92)&lt;=0,"Temps par pièce manquant","OK")))))</f>
        <v/>
      </c>
    </row>
    <row r="93">
      <c r="A93" s="53" t="n"/>
      <c r="B93" s="53" t="n"/>
      <c r="C93" s="57" t="n"/>
      <c r="D93" s="92" t="n"/>
      <c r="E93" s="93" t="n"/>
      <c r="F93" s="59" t="str">
        <f>IF(N(E93)&gt;0,60/E93,"")</f>
        <v/>
      </c>
      <c r="G93" s="58" t="str">
        <f>IF(A93="","",IF(COUNTIF($A$6:$A$305,A93)&gt;1,"Référence en double",IF(C93="","Poste manquant",IF(ISNA(MATCH(C93,po_code,0)),"Poste inconnu",IF(N(E93)&lt;=0,"Temps par pièce manquant","OK")))))</f>
        <v/>
      </c>
    </row>
    <row r="94">
      <c r="A94" s="53" t="n"/>
      <c r="B94" s="53" t="n"/>
      <c r="C94" s="57" t="n"/>
      <c r="D94" s="92" t="n"/>
      <c r="E94" s="93" t="n"/>
      <c r="F94" s="59" t="str">
        <f>IF(N(E94)&gt;0,60/E94,"")</f>
        <v/>
      </c>
      <c r="G94" s="58" t="str">
        <f>IF(A94="","",IF(COUNTIF($A$6:$A$305,A94)&gt;1,"Référence en double",IF(C94="","Poste manquant",IF(ISNA(MATCH(C94,po_code,0)),"Poste inconnu",IF(N(E94)&lt;=0,"Temps par pièce manquant","OK")))))</f>
        <v/>
      </c>
    </row>
    <row r="95">
      <c r="A95" s="53" t="n"/>
      <c r="B95" s="53" t="n"/>
      <c r="C95" s="57" t="n"/>
      <c r="D95" s="92" t="n"/>
      <c r="E95" s="93" t="n"/>
      <c r="F95" s="59" t="str">
        <f>IF(N(E95)&gt;0,60/E95,"")</f>
        <v/>
      </c>
      <c r="G95" s="58" t="str">
        <f>IF(A95="","",IF(COUNTIF($A$6:$A$305,A95)&gt;1,"Référence en double",IF(C95="","Poste manquant",IF(ISNA(MATCH(C95,po_code,0)),"Poste inconnu",IF(N(E95)&lt;=0,"Temps par pièce manquant","OK")))))</f>
        <v/>
      </c>
    </row>
    <row r="96">
      <c r="A96" s="53" t="n"/>
      <c r="B96" s="53" t="n"/>
      <c r="C96" s="57" t="n"/>
      <c r="D96" s="92" t="n"/>
      <c r="E96" s="93" t="n"/>
      <c r="F96" s="59" t="str">
        <f>IF(N(E96)&gt;0,60/E96,"")</f>
        <v/>
      </c>
      <c r="G96" s="58" t="str">
        <f>IF(A96="","",IF(COUNTIF($A$6:$A$305,A96)&gt;1,"Référence en double",IF(C96="","Poste manquant",IF(ISNA(MATCH(C96,po_code,0)),"Poste inconnu",IF(N(E96)&lt;=0,"Temps par pièce manquant","OK")))))</f>
        <v/>
      </c>
    </row>
    <row r="97">
      <c r="A97" s="53" t="n"/>
      <c r="B97" s="53" t="n"/>
      <c r="C97" s="57" t="n"/>
      <c r="D97" s="92" t="n"/>
      <c r="E97" s="93" t="n"/>
      <c r="F97" s="59" t="str">
        <f>IF(N(E97)&gt;0,60/E97,"")</f>
        <v/>
      </c>
      <c r="G97" s="58" t="str">
        <f>IF(A97="","",IF(COUNTIF($A$6:$A$305,A97)&gt;1,"Référence en double",IF(C97="","Poste manquant",IF(ISNA(MATCH(C97,po_code,0)),"Poste inconnu",IF(N(E97)&lt;=0,"Temps par pièce manquant","OK")))))</f>
        <v/>
      </c>
    </row>
    <row r="98">
      <c r="A98" s="53" t="n"/>
      <c r="B98" s="53" t="n"/>
      <c r="C98" s="57" t="n"/>
      <c r="D98" s="92" t="n"/>
      <c r="E98" s="93" t="n"/>
      <c r="F98" s="59" t="str">
        <f>IF(N(E98)&gt;0,60/E98,"")</f>
        <v/>
      </c>
      <c r="G98" s="58" t="str">
        <f>IF(A98="","",IF(COUNTIF($A$6:$A$305,A98)&gt;1,"Référence en double",IF(C98="","Poste manquant",IF(ISNA(MATCH(C98,po_code,0)),"Poste inconnu",IF(N(E98)&lt;=0,"Temps par pièce manquant","OK")))))</f>
        <v/>
      </c>
    </row>
    <row r="99">
      <c r="A99" s="53" t="n"/>
      <c r="B99" s="53" t="n"/>
      <c r="C99" s="57" t="n"/>
      <c r="D99" s="92" t="n"/>
      <c r="E99" s="93" t="n"/>
      <c r="F99" s="59" t="str">
        <f>IF(N(E99)&gt;0,60/E99,"")</f>
        <v/>
      </c>
      <c r="G99" s="58" t="str">
        <f>IF(A99="","",IF(COUNTIF($A$6:$A$305,A99)&gt;1,"Référence en double",IF(C99="","Poste manquant",IF(ISNA(MATCH(C99,po_code,0)),"Poste inconnu",IF(N(E99)&lt;=0,"Temps par pièce manquant","OK")))))</f>
        <v/>
      </c>
    </row>
    <row r="100">
      <c r="A100" s="53" t="n"/>
      <c r="B100" s="53" t="n"/>
      <c r="C100" s="57" t="n"/>
      <c r="D100" s="92" t="n"/>
      <c r="E100" s="93" t="n"/>
      <c r="F100" s="59" t="str">
        <f>IF(N(E100)&gt;0,60/E100,"")</f>
        <v/>
      </c>
      <c r="G100" s="58" t="str">
        <f>IF(A100="","",IF(COUNTIF($A$6:$A$305,A100)&gt;1,"Référence en double",IF(C100="","Poste manquant",IF(ISNA(MATCH(C100,po_code,0)),"Poste inconnu",IF(N(E100)&lt;=0,"Temps par pièce manquant","OK")))))</f>
        <v/>
      </c>
    </row>
    <row r="101">
      <c r="A101" s="53" t="n"/>
      <c r="B101" s="53" t="n"/>
      <c r="C101" s="57" t="n"/>
      <c r="D101" s="92" t="n"/>
      <c r="E101" s="93" t="n"/>
      <c r="F101" s="59" t="str">
        <f>IF(N(E101)&gt;0,60/E101,"")</f>
        <v/>
      </c>
      <c r="G101" s="58" t="str">
        <f>IF(A101="","",IF(COUNTIF($A$6:$A$305,A101)&gt;1,"Référence en double",IF(C101="","Poste manquant",IF(ISNA(MATCH(C101,po_code,0)),"Poste inconnu",IF(N(E101)&lt;=0,"Temps par pièce manquant","OK")))))</f>
        <v/>
      </c>
    </row>
    <row r="102">
      <c r="A102" s="53" t="n"/>
      <c r="B102" s="53" t="n"/>
      <c r="C102" s="57" t="n"/>
      <c r="D102" s="92" t="n"/>
      <c r="E102" s="93" t="n"/>
      <c r="F102" s="59" t="str">
        <f>IF(N(E102)&gt;0,60/E102,"")</f>
        <v/>
      </c>
      <c r="G102" s="58" t="str">
        <f>IF(A102="","",IF(COUNTIF($A$6:$A$305,A102)&gt;1,"Référence en double",IF(C102="","Poste manquant",IF(ISNA(MATCH(C102,po_code,0)),"Poste inconnu",IF(N(E102)&lt;=0,"Temps par pièce manquant","OK")))))</f>
        <v/>
      </c>
    </row>
    <row r="103">
      <c r="A103" s="53" t="n"/>
      <c r="B103" s="53" t="n"/>
      <c r="C103" s="57" t="n"/>
      <c r="D103" s="92" t="n"/>
      <c r="E103" s="93" t="n"/>
      <c r="F103" s="59" t="str">
        <f>IF(N(E103)&gt;0,60/E103,"")</f>
        <v/>
      </c>
      <c r="G103" s="58" t="str">
        <f>IF(A103="","",IF(COUNTIF($A$6:$A$305,A103)&gt;1,"Référence en double",IF(C103="","Poste manquant",IF(ISNA(MATCH(C103,po_code,0)),"Poste inconnu",IF(N(E103)&lt;=0,"Temps par pièce manquant","OK")))))</f>
        <v/>
      </c>
    </row>
    <row r="104">
      <c r="A104" s="53" t="n"/>
      <c r="B104" s="53" t="n"/>
      <c r="C104" s="57" t="n"/>
      <c r="D104" s="92" t="n"/>
      <c r="E104" s="93" t="n"/>
      <c r="F104" s="59" t="str">
        <f>IF(N(E104)&gt;0,60/E104,"")</f>
        <v/>
      </c>
      <c r="G104" s="58" t="str">
        <f>IF(A104="","",IF(COUNTIF($A$6:$A$305,A104)&gt;1,"Référence en double",IF(C104="","Poste manquant",IF(ISNA(MATCH(C104,po_code,0)),"Poste inconnu",IF(N(E104)&lt;=0,"Temps par pièce manquant","OK")))))</f>
        <v/>
      </c>
    </row>
    <row r="105">
      <c r="A105" s="53" t="n"/>
      <c r="B105" s="53" t="n"/>
      <c r="C105" s="57" t="n"/>
      <c r="D105" s="92" t="n"/>
      <c r="E105" s="93" t="n"/>
      <c r="F105" s="59" t="str">
        <f>IF(N(E105)&gt;0,60/E105,"")</f>
        <v/>
      </c>
      <c r="G105" s="58" t="str">
        <f>IF(A105="","",IF(COUNTIF($A$6:$A$305,A105)&gt;1,"Référence en double",IF(C105="","Poste manquant",IF(ISNA(MATCH(C105,po_code,0)),"Poste inconnu",IF(N(E105)&lt;=0,"Temps par pièce manquant","OK")))))</f>
        <v/>
      </c>
    </row>
    <row r="106">
      <c r="A106" s="53" t="n"/>
      <c r="B106" s="53" t="n"/>
      <c r="C106" s="57" t="n"/>
      <c r="D106" s="92" t="n"/>
      <c r="E106" s="93" t="n"/>
      <c r="F106" s="59" t="str">
        <f>IF(N(E106)&gt;0,60/E106,"")</f>
        <v/>
      </c>
      <c r="G106" s="58" t="str">
        <f>IF(A106="","",IF(COUNTIF($A$6:$A$305,A106)&gt;1,"Référence en double",IF(C106="","Poste manquant",IF(ISNA(MATCH(C106,po_code,0)),"Poste inconnu",IF(N(E106)&lt;=0,"Temps par pièce manquant","OK")))))</f>
        <v/>
      </c>
    </row>
    <row r="107">
      <c r="A107" s="53" t="n"/>
      <c r="B107" s="53" t="n"/>
      <c r="C107" s="57" t="n"/>
      <c r="D107" s="92" t="n"/>
      <c r="E107" s="93" t="n"/>
      <c r="F107" s="59" t="str">
        <f>IF(N(E107)&gt;0,60/E107,"")</f>
        <v/>
      </c>
      <c r="G107" s="58" t="str">
        <f>IF(A107="","",IF(COUNTIF($A$6:$A$305,A107)&gt;1,"Référence en double",IF(C107="","Poste manquant",IF(ISNA(MATCH(C107,po_code,0)),"Poste inconnu",IF(N(E107)&lt;=0,"Temps par pièce manquant","OK")))))</f>
        <v/>
      </c>
    </row>
    <row r="108">
      <c r="A108" s="53" t="n"/>
      <c r="B108" s="53" t="n"/>
      <c r="C108" s="57" t="n"/>
      <c r="D108" s="92" t="n"/>
      <c r="E108" s="93" t="n"/>
      <c r="F108" s="59" t="str">
        <f>IF(N(E108)&gt;0,60/E108,"")</f>
        <v/>
      </c>
      <c r="G108" s="58" t="str">
        <f>IF(A108="","",IF(COUNTIF($A$6:$A$305,A108)&gt;1,"Référence en double",IF(C108="","Poste manquant",IF(ISNA(MATCH(C108,po_code,0)),"Poste inconnu",IF(N(E108)&lt;=0,"Temps par pièce manquant","OK")))))</f>
        <v/>
      </c>
    </row>
    <row r="109">
      <c r="A109" s="53" t="n"/>
      <c r="B109" s="53" t="n"/>
      <c r="C109" s="57" t="n"/>
      <c r="D109" s="92" t="n"/>
      <c r="E109" s="93" t="n"/>
      <c r="F109" s="59" t="str">
        <f>IF(N(E109)&gt;0,60/E109,"")</f>
        <v/>
      </c>
      <c r="G109" s="58" t="str">
        <f>IF(A109="","",IF(COUNTIF($A$6:$A$305,A109)&gt;1,"Référence en double",IF(C109="","Poste manquant",IF(ISNA(MATCH(C109,po_code,0)),"Poste inconnu",IF(N(E109)&lt;=0,"Temps par pièce manquant","OK")))))</f>
        <v/>
      </c>
    </row>
    <row r="110">
      <c r="A110" s="53" t="n"/>
      <c r="B110" s="53" t="n"/>
      <c r="C110" s="57" t="n"/>
      <c r="D110" s="92" t="n"/>
      <c r="E110" s="93" t="n"/>
      <c r="F110" s="59" t="str">
        <f>IF(N(E110)&gt;0,60/E110,"")</f>
        <v/>
      </c>
      <c r="G110" s="58" t="str">
        <f>IF(A110="","",IF(COUNTIF($A$6:$A$305,A110)&gt;1,"Référence en double",IF(C110="","Poste manquant",IF(ISNA(MATCH(C110,po_code,0)),"Poste inconnu",IF(N(E110)&lt;=0,"Temps par pièce manquant","OK")))))</f>
        <v/>
      </c>
    </row>
    <row r="111">
      <c r="A111" s="53" t="n"/>
      <c r="B111" s="53" t="n"/>
      <c r="C111" s="57" t="n"/>
      <c r="D111" s="92" t="n"/>
      <c r="E111" s="93" t="n"/>
      <c r="F111" s="59" t="str">
        <f>IF(N(E111)&gt;0,60/E111,"")</f>
        <v/>
      </c>
      <c r="G111" s="58" t="str">
        <f>IF(A111="","",IF(COUNTIF($A$6:$A$305,A111)&gt;1,"Référence en double",IF(C111="","Poste manquant",IF(ISNA(MATCH(C111,po_code,0)),"Poste inconnu",IF(N(E111)&lt;=0,"Temps par pièce manquant","OK")))))</f>
        <v/>
      </c>
    </row>
    <row r="112">
      <c r="A112" s="53" t="n"/>
      <c r="B112" s="53" t="n"/>
      <c r="C112" s="57" t="n"/>
      <c r="D112" s="92" t="n"/>
      <c r="E112" s="93" t="n"/>
      <c r="F112" s="59" t="str">
        <f>IF(N(E112)&gt;0,60/E112,"")</f>
        <v/>
      </c>
      <c r="G112" s="58" t="str">
        <f>IF(A112="","",IF(COUNTIF($A$6:$A$305,A112)&gt;1,"Référence en double",IF(C112="","Poste manquant",IF(ISNA(MATCH(C112,po_code,0)),"Poste inconnu",IF(N(E112)&lt;=0,"Temps par pièce manquant","OK")))))</f>
        <v/>
      </c>
    </row>
    <row r="113">
      <c r="A113" s="53" t="n"/>
      <c r="B113" s="53" t="n"/>
      <c r="C113" s="57" t="n"/>
      <c r="D113" s="92" t="n"/>
      <c r="E113" s="93" t="n"/>
      <c r="F113" s="59" t="str">
        <f>IF(N(E113)&gt;0,60/E113,"")</f>
        <v/>
      </c>
      <c r="G113" s="58" t="str">
        <f>IF(A113="","",IF(COUNTIF($A$6:$A$305,A113)&gt;1,"Référence en double",IF(C113="","Poste manquant",IF(ISNA(MATCH(C113,po_code,0)),"Poste inconnu",IF(N(E113)&lt;=0,"Temps par pièce manquant","OK")))))</f>
        <v/>
      </c>
    </row>
    <row r="114">
      <c r="A114" s="53" t="n"/>
      <c r="B114" s="53" t="n"/>
      <c r="C114" s="57" t="n"/>
      <c r="D114" s="92" t="n"/>
      <c r="E114" s="93" t="n"/>
      <c r="F114" s="59" t="str">
        <f>IF(N(E114)&gt;0,60/E114,"")</f>
        <v/>
      </c>
      <c r="G114" s="58" t="str">
        <f>IF(A114="","",IF(COUNTIF($A$6:$A$305,A114)&gt;1,"Référence en double",IF(C114="","Poste manquant",IF(ISNA(MATCH(C114,po_code,0)),"Poste inconnu",IF(N(E114)&lt;=0,"Temps par pièce manquant","OK")))))</f>
        <v/>
      </c>
    </row>
    <row r="115">
      <c r="A115" s="53" t="n"/>
      <c r="B115" s="53" t="n"/>
      <c r="C115" s="57" t="n"/>
      <c r="D115" s="92" t="n"/>
      <c r="E115" s="93" t="n"/>
      <c r="F115" s="59" t="str">
        <f>IF(N(E115)&gt;0,60/E115,"")</f>
        <v/>
      </c>
      <c r="G115" s="58" t="str">
        <f>IF(A115="","",IF(COUNTIF($A$6:$A$305,A115)&gt;1,"Référence en double",IF(C115="","Poste manquant",IF(ISNA(MATCH(C115,po_code,0)),"Poste inconnu",IF(N(E115)&lt;=0,"Temps par pièce manquant","OK")))))</f>
        <v/>
      </c>
    </row>
    <row r="116">
      <c r="A116" s="53" t="n"/>
      <c r="B116" s="53" t="n"/>
      <c r="C116" s="57" t="n"/>
      <c r="D116" s="92" t="n"/>
      <c r="E116" s="93" t="n"/>
      <c r="F116" s="59" t="str">
        <f>IF(N(E116)&gt;0,60/E116,"")</f>
        <v/>
      </c>
      <c r="G116" s="58" t="str">
        <f>IF(A116="","",IF(COUNTIF($A$6:$A$305,A116)&gt;1,"Référence en double",IF(C116="","Poste manquant",IF(ISNA(MATCH(C116,po_code,0)),"Poste inconnu",IF(N(E116)&lt;=0,"Temps par pièce manquant","OK")))))</f>
        <v/>
      </c>
    </row>
    <row r="117">
      <c r="A117" s="53" t="n"/>
      <c r="B117" s="53" t="n"/>
      <c r="C117" s="57" t="n"/>
      <c r="D117" s="92" t="n"/>
      <c r="E117" s="93" t="n"/>
      <c r="F117" s="59" t="str">
        <f>IF(N(E117)&gt;0,60/E117,"")</f>
        <v/>
      </c>
      <c r="G117" s="58" t="str">
        <f>IF(A117="","",IF(COUNTIF($A$6:$A$305,A117)&gt;1,"Référence en double",IF(C117="","Poste manquant",IF(ISNA(MATCH(C117,po_code,0)),"Poste inconnu",IF(N(E117)&lt;=0,"Temps par pièce manquant","OK")))))</f>
        <v/>
      </c>
    </row>
    <row r="118">
      <c r="A118" s="53" t="n"/>
      <c r="B118" s="53" t="n"/>
      <c r="C118" s="57" t="n"/>
      <c r="D118" s="92" t="n"/>
      <c r="E118" s="93" t="n"/>
      <c r="F118" s="59" t="str">
        <f>IF(N(E118)&gt;0,60/E118,"")</f>
        <v/>
      </c>
      <c r="G118" s="58" t="str">
        <f>IF(A118="","",IF(COUNTIF($A$6:$A$305,A118)&gt;1,"Référence en double",IF(C118="","Poste manquant",IF(ISNA(MATCH(C118,po_code,0)),"Poste inconnu",IF(N(E118)&lt;=0,"Temps par pièce manquant","OK")))))</f>
        <v/>
      </c>
    </row>
    <row r="119">
      <c r="A119" s="53" t="n"/>
      <c r="B119" s="53" t="n"/>
      <c r="C119" s="57" t="n"/>
      <c r="D119" s="92" t="n"/>
      <c r="E119" s="93" t="n"/>
      <c r="F119" s="59" t="str">
        <f>IF(N(E119)&gt;0,60/E119,"")</f>
        <v/>
      </c>
      <c r="G119" s="58" t="str">
        <f>IF(A119="","",IF(COUNTIF($A$6:$A$305,A119)&gt;1,"Référence en double",IF(C119="","Poste manquant",IF(ISNA(MATCH(C119,po_code,0)),"Poste inconnu",IF(N(E119)&lt;=0,"Temps par pièce manquant","OK")))))</f>
        <v/>
      </c>
    </row>
    <row r="120">
      <c r="A120" s="53" t="n"/>
      <c r="B120" s="53" t="n"/>
      <c r="C120" s="57" t="n"/>
      <c r="D120" s="92" t="n"/>
      <c r="E120" s="93" t="n"/>
      <c r="F120" s="59" t="str">
        <f>IF(N(E120)&gt;0,60/E120,"")</f>
        <v/>
      </c>
      <c r="G120" s="58" t="str">
        <f>IF(A120="","",IF(COUNTIF($A$6:$A$305,A120)&gt;1,"Référence en double",IF(C120="","Poste manquant",IF(ISNA(MATCH(C120,po_code,0)),"Poste inconnu",IF(N(E120)&lt;=0,"Temps par pièce manquant","OK")))))</f>
        <v/>
      </c>
    </row>
    <row r="121">
      <c r="A121" s="53" t="n"/>
      <c r="B121" s="53" t="n"/>
      <c r="C121" s="57" t="n"/>
      <c r="D121" s="92" t="n"/>
      <c r="E121" s="93" t="n"/>
      <c r="F121" s="59" t="str">
        <f>IF(N(E121)&gt;0,60/E121,"")</f>
        <v/>
      </c>
      <c r="G121" s="58" t="str">
        <f>IF(A121="","",IF(COUNTIF($A$6:$A$305,A121)&gt;1,"Référence en double",IF(C121="","Poste manquant",IF(ISNA(MATCH(C121,po_code,0)),"Poste inconnu",IF(N(E121)&lt;=0,"Temps par pièce manquant","OK")))))</f>
        <v/>
      </c>
    </row>
    <row r="122">
      <c r="A122" s="53" t="n"/>
      <c r="B122" s="53" t="n"/>
      <c r="C122" s="57" t="n"/>
      <c r="D122" s="92" t="n"/>
      <c r="E122" s="93" t="n"/>
      <c r="F122" s="59" t="str">
        <f>IF(N(E122)&gt;0,60/E122,"")</f>
        <v/>
      </c>
      <c r="G122" s="58" t="str">
        <f>IF(A122="","",IF(COUNTIF($A$6:$A$305,A122)&gt;1,"Référence en double",IF(C122="","Poste manquant",IF(ISNA(MATCH(C122,po_code,0)),"Poste inconnu",IF(N(E122)&lt;=0,"Temps par pièce manquant","OK")))))</f>
        <v/>
      </c>
    </row>
    <row r="123">
      <c r="A123" s="53" t="n"/>
      <c r="B123" s="53" t="n"/>
      <c r="C123" s="57" t="n"/>
      <c r="D123" s="92" t="n"/>
      <c r="E123" s="93" t="n"/>
      <c r="F123" s="59" t="str">
        <f>IF(N(E123)&gt;0,60/E123,"")</f>
        <v/>
      </c>
      <c r="G123" s="58" t="str">
        <f>IF(A123="","",IF(COUNTIF($A$6:$A$305,A123)&gt;1,"Référence en double",IF(C123="","Poste manquant",IF(ISNA(MATCH(C123,po_code,0)),"Poste inconnu",IF(N(E123)&lt;=0,"Temps par pièce manquant","OK")))))</f>
        <v/>
      </c>
    </row>
    <row r="124">
      <c r="A124" s="53" t="n"/>
      <c r="B124" s="53" t="n"/>
      <c r="C124" s="57" t="n"/>
      <c r="D124" s="92" t="n"/>
      <c r="E124" s="93" t="n"/>
      <c r="F124" s="59" t="str">
        <f>IF(N(E124)&gt;0,60/E124,"")</f>
        <v/>
      </c>
      <c r="G124" s="58" t="str">
        <f>IF(A124="","",IF(COUNTIF($A$6:$A$305,A124)&gt;1,"Référence en double",IF(C124="","Poste manquant",IF(ISNA(MATCH(C124,po_code,0)),"Poste inconnu",IF(N(E124)&lt;=0,"Temps par pièce manquant","OK")))))</f>
        <v/>
      </c>
    </row>
    <row r="125">
      <c r="A125" s="53" t="n"/>
      <c r="B125" s="53" t="n"/>
      <c r="C125" s="57" t="n"/>
      <c r="D125" s="92" t="n"/>
      <c r="E125" s="93" t="n"/>
      <c r="F125" s="59" t="str">
        <f>IF(N(E125)&gt;0,60/E125,"")</f>
        <v/>
      </c>
      <c r="G125" s="58" t="str">
        <f>IF(A125="","",IF(COUNTIF($A$6:$A$305,A125)&gt;1,"Référence en double",IF(C125="","Poste manquant",IF(ISNA(MATCH(C125,po_code,0)),"Poste inconnu",IF(N(E125)&lt;=0,"Temps par pièce manquant","OK")))))</f>
        <v/>
      </c>
    </row>
    <row r="126">
      <c r="A126" s="53" t="n"/>
      <c r="B126" s="53" t="n"/>
      <c r="C126" s="57" t="n"/>
      <c r="D126" s="92" t="n"/>
      <c r="E126" s="93" t="n"/>
      <c r="F126" s="59" t="str">
        <f>IF(N(E126)&gt;0,60/E126,"")</f>
        <v/>
      </c>
      <c r="G126" s="58" t="str">
        <f>IF(A126="","",IF(COUNTIF($A$6:$A$305,A126)&gt;1,"Référence en double",IF(C126="","Poste manquant",IF(ISNA(MATCH(C126,po_code,0)),"Poste inconnu",IF(N(E126)&lt;=0,"Temps par pièce manquant","OK")))))</f>
        <v/>
      </c>
    </row>
    <row r="127">
      <c r="A127" s="53" t="n"/>
      <c r="B127" s="53" t="n"/>
      <c r="C127" s="57" t="n"/>
      <c r="D127" s="92" t="n"/>
      <c r="E127" s="93" t="n"/>
      <c r="F127" s="59" t="str">
        <f>IF(N(E127)&gt;0,60/E127,"")</f>
        <v/>
      </c>
      <c r="G127" s="58" t="str">
        <f>IF(A127="","",IF(COUNTIF($A$6:$A$305,A127)&gt;1,"Référence en double",IF(C127="","Poste manquant",IF(ISNA(MATCH(C127,po_code,0)),"Poste inconnu",IF(N(E127)&lt;=0,"Temps par pièce manquant","OK")))))</f>
        <v/>
      </c>
    </row>
    <row r="128">
      <c r="A128" s="53" t="n"/>
      <c r="B128" s="53" t="n"/>
      <c r="C128" s="57" t="n"/>
      <c r="D128" s="92" t="n"/>
      <c r="E128" s="93" t="n"/>
      <c r="F128" s="59" t="str">
        <f>IF(N(E128)&gt;0,60/E128,"")</f>
        <v/>
      </c>
      <c r="G128" s="58" t="str">
        <f>IF(A128="","",IF(COUNTIF($A$6:$A$305,A128)&gt;1,"Référence en double",IF(C128="","Poste manquant",IF(ISNA(MATCH(C128,po_code,0)),"Poste inconnu",IF(N(E128)&lt;=0,"Temps par pièce manquant","OK")))))</f>
        <v/>
      </c>
    </row>
    <row r="129">
      <c r="A129" s="53" t="n"/>
      <c r="B129" s="53" t="n"/>
      <c r="C129" s="57" t="n"/>
      <c r="D129" s="92" t="n"/>
      <c r="E129" s="93" t="n"/>
      <c r="F129" s="59" t="str">
        <f>IF(N(E129)&gt;0,60/E129,"")</f>
        <v/>
      </c>
      <c r="G129" s="58" t="str">
        <f>IF(A129="","",IF(COUNTIF($A$6:$A$305,A129)&gt;1,"Référence en double",IF(C129="","Poste manquant",IF(ISNA(MATCH(C129,po_code,0)),"Poste inconnu",IF(N(E129)&lt;=0,"Temps par pièce manquant","OK")))))</f>
        <v/>
      </c>
    </row>
    <row r="130">
      <c r="A130" s="53" t="n"/>
      <c r="B130" s="53" t="n"/>
      <c r="C130" s="57" t="n"/>
      <c r="D130" s="92" t="n"/>
      <c r="E130" s="93" t="n"/>
      <c r="F130" s="59" t="str">
        <f>IF(N(E130)&gt;0,60/E130,"")</f>
        <v/>
      </c>
      <c r="G130" s="58" t="str">
        <f>IF(A130="","",IF(COUNTIF($A$6:$A$305,A130)&gt;1,"Référence en double",IF(C130="","Poste manquant",IF(ISNA(MATCH(C130,po_code,0)),"Poste inconnu",IF(N(E130)&lt;=0,"Temps par pièce manquant","OK")))))</f>
        <v/>
      </c>
    </row>
    <row r="131">
      <c r="A131" s="53" t="n"/>
      <c r="B131" s="53" t="n"/>
      <c r="C131" s="57" t="n"/>
      <c r="D131" s="92" t="n"/>
      <c r="E131" s="93" t="n"/>
      <c r="F131" s="59" t="str">
        <f>IF(N(E131)&gt;0,60/E131,"")</f>
        <v/>
      </c>
      <c r="G131" s="58" t="str">
        <f>IF(A131="","",IF(COUNTIF($A$6:$A$305,A131)&gt;1,"Référence en double",IF(C131="","Poste manquant",IF(ISNA(MATCH(C131,po_code,0)),"Poste inconnu",IF(N(E131)&lt;=0,"Temps par pièce manquant","OK")))))</f>
        <v/>
      </c>
    </row>
    <row r="132">
      <c r="A132" s="53" t="n"/>
      <c r="B132" s="53" t="n"/>
      <c r="C132" s="57" t="n"/>
      <c r="D132" s="92" t="n"/>
      <c r="E132" s="93" t="n"/>
      <c r="F132" s="59" t="str">
        <f>IF(N(E132)&gt;0,60/E132,"")</f>
        <v/>
      </c>
      <c r="G132" s="58" t="str">
        <f>IF(A132="","",IF(COUNTIF($A$6:$A$305,A132)&gt;1,"Référence en double",IF(C132="","Poste manquant",IF(ISNA(MATCH(C132,po_code,0)),"Poste inconnu",IF(N(E132)&lt;=0,"Temps par pièce manquant","OK")))))</f>
        <v/>
      </c>
    </row>
    <row r="133">
      <c r="A133" s="53" t="n"/>
      <c r="B133" s="53" t="n"/>
      <c r="C133" s="57" t="n"/>
      <c r="D133" s="92" t="n"/>
      <c r="E133" s="93" t="n"/>
      <c r="F133" s="59" t="str">
        <f>IF(N(E133)&gt;0,60/E133,"")</f>
        <v/>
      </c>
      <c r="G133" s="58" t="str">
        <f>IF(A133="","",IF(COUNTIF($A$6:$A$305,A133)&gt;1,"Référence en double",IF(C133="","Poste manquant",IF(ISNA(MATCH(C133,po_code,0)),"Poste inconnu",IF(N(E133)&lt;=0,"Temps par pièce manquant","OK")))))</f>
        <v/>
      </c>
    </row>
    <row r="134">
      <c r="A134" s="53" t="n"/>
      <c r="B134" s="53" t="n"/>
      <c r="C134" s="57" t="n"/>
      <c r="D134" s="92" t="n"/>
      <c r="E134" s="93" t="n"/>
      <c r="F134" s="59" t="str">
        <f>IF(N(E134)&gt;0,60/E134,"")</f>
        <v/>
      </c>
      <c r="G134" s="58" t="str">
        <f>IF(A134="","",IF(COUNTIF($A$6:$A$305,A134)&gt;1,"Référence en double",IF(C134="","Poste manquant",IF(ISNA(MATCH(C134,po_code,0)),"Poste inconnu",IF(N(E134)&lt;=0,"Temps par pièce manquant","OK")))))</f>
        <v/>
      </c>
    </row>
    <row r="135">
      <c r="A135" s="53" t="n"/>
      <c r="B135" s="53" t="n"/>
      <c r="C135" s="57" t="n"/>
      <c r="D135" s="92" t="n"/>
      <c r="E135" s="93" t="n"/>
      <c r="F135" s="59" t="str">
        <f>IF(N(E135)&gt;0,60/E135,"")</f>
        <v/>
      </c>
      <c r="G135" s="58" t="str">
        <f>IF(A135="","",IF(COUNTIF($A$6:$A$305,A135)&gt;1,"Référence en double",IF(C135="","Poste manquant",IF(ISNA(MATCH(C135,po_code,0)),"Poste inconnu",IF(N(E135)&lt;=0,"Temps par pièce manquant","OK")))))</f>
        <v/>
      </c>
    </row>
    <row r="136">
      <c r="A136" s="53" t="n"/>
      <c r="B136" s="53" t="n"/>
      <c r="C136" s="57" t="n"/>
      <c r="D136" s="92" t="n"/>
      <c r="E136" s="93" t="n"/>
      <c r="F136" s="59" t="str">
        <f>IF(N(E136)&gt;0,60/E136,"")</f>
        <v/>
      </c>
      <c r="G136" s="58" t="str">
        <f>IF(A136="","",IF(COUNTIF($A$6:$A$305,A136)&gt;1,"Référence en double",IF(C136="","Poste manquant",IF(ISNA(MATCH(C136,po_code,0)),"Poste inconnu",IF(N(E136)&lt;=0,"Temps par pièce manquant","OK")))))</f>
        <v/>
      </c>
    </row>
    <row r="137">
      <c r="A137" s="53" t="n"/>
      <c r="B137" s="53" t="n"/>
      <c r="C137" s="57" t="n"/>
      <c r="D137" s="92" t="n"/>
      <c r="E137" s="93" t="n"/>
      <c r="F137" s="59" t="str">
        <f>IF(N(E137)&gt;0,60/E137,"")</f>
        <v/>
      </c>
      <c r="G137" s="58" t="str">
        <f>IF(A137="","",IF(COUNTIF($A$6:$A$305,A137)&gt;1,"Référence en double",IF(C137="","Poste manquant",IF(ISNA(MATCH(C137,po_code,0)),"Poste inconnu",IF(N(E137)&lt;=0,"Temps par pièce manquant","OK")))))</f>
        <v/>
      </c>
    </row>
    <row r="138">
      <c r="A138" s="53" t="n"/>
      <c r="B138" s="53" t="n"/>
      <c r="C138" s="57" t="n"/>
      <c r="D138" s="92" t="n"/>
      <c r="E138" s="93" t="n"/>
      <c r="F138" s="59" t="str">
        <f>IF(N(E138)&gt;0,60/E138,"")</f>
        <v/>
      </c>
      <c r="G138" s="58" t="str">
        <f>IF(A138="","",IF(COUNTIF($A$6:$A$305,A138)&gt;1,"Référence en double",IF(C138="","Poste manquant",IF(ISNA(MATCH(C138,po_code,0)),"Poste inconnu",IF(N(E138)&lt;=0,"Temps par pièce manquant","OK")))))</f>
        <v/>
      </c>
    </row>
    <row r="139">
      <c r="A139" s="53" t="n"/>
      <c r="B139" s="53" t="n"/>
      <c r="C139" s="57" t="n"/>
      <c r="D139" s="92" t="n"/>
      <c r="E139" s="93" t="n"/>
      <c r="F139" s="59" t="str">
        <f>IF(N(E139)&gt;0,60/E139,"")</f>
        <v/>
      </c>
      <c r="G139" s="58" t="str">
        <f>IF(A139="","",IF(COUNTIF($A$6:$A$305,A139)&gt;1,"Référence en double",IF(C139="","Poste manquant",IF(ISNA(MATCH(C139,po_code,0)),"Poste inconnu",IF(N(E139)&lt;=0,"Temps par pièce manquant","OK")))))</f>
        <v/>
      </c>
    </row>
    <row r="140">
      <c r="A140" s="53" t="n"/>
      <c r="B140" s="53" t="n"/>
      <c r="C140" s="57" t="n"/>
      <c r="D140" s="92" t="n"/>
      <c r="E140" s="93" t="n"/>
      <c r="F140" s="59" t="str">
        <f>IF(N(E140)&gt;0,60/E140,"")</f>
        <v/>
      </c>
      <c r="G140" s="58" t="str">
        <f>IF(A140="","",IF(COUNTIF($A$6:$A$305,A140)&gt;1,"Référence en double",IF(C140="","Poste manquant",IF(ISNA(MATCH(C140,po_code,0)),"Poste inconnu",IF(N(E140)&lt;=0,"Temps par pièce manquant","OK")))))</f>
        <v/>
      </c>
    </row>
    <row r="141">
      <c r="A141" s="53" t="n"/>
      <c r="B141" s="53" t="n"/>
      <c r="C141" s="57" t="n"/>
      <c r="D141" s="92" t="n"/>
      <c r="E141" s="93" t="n"/>
      <c r="F141" s="59" t="str">
        <f>IF(N(E141)&gt;0,60/E141,"")</f>
        <v/>
      </c>
      <c r="G141" s="58" t="str">
        <f>IF(A141="","",IF(COUNTIF($A$6:$A$305,A141)&gt;1,"Référence en double",IF(C141="","Poste manquant",IF(ISNA(MATCH(C141,po_code,0)),"Poste inconnu",IF(N(E141)&lt;=0,"Temps par pièce manquant","OK")))))</f>
        <v/>
      </c>
    </row>
    <row r="142">
      <c r="A142" s="53" t="n"/>
      <c r="B142" s="53" t="n"/>
      <c r="C142" s="57" t="n"/>
      <c r="D142" s="92" t="n"/>
      <c r="E142" s="93" t="n"/>
      <c r="F142" s="59" t="str">
        <f>IF(N(E142)&gt;0,60/E142,"")</f>
        <v/>
      </c>
      <c r="G142" s="58" t="str">
        <f>IF(A142="","",IF(COUNTIF($A$6:$A$305,A142)&gt;1,"Référence en double",IF(C142="","Poste manquant",IF(ISNA(MATCH(C142,po_code,0)),"Poste inconnu",IF(N(E142)&lt;=0,"Temps par pièce manquant","OK")))))</f>
        <v/>
      </c>
    </row>
    <row r="143">
      <c r="A143" s="53" t="n"/>
      <c r="B143" s="53" t="n"/>
      <c r="C143" s="57" t="n"/>
      <c r="D143" s="92" t="n"/>
      <c r="E143" s="93" t="n"/>
      <c r="F143" s="59" t="str">
        <f>IF(N(E143)&gt;0,60/E143,"")</f>
        <v/>
      </c>
      <c r="G143" s="58" t="str">
        <f>IF(A143="","",IF(COUNTIF($A$6:$A$305,A143)&gt;1,"Référence en double",IF(C143="","Poste manquant",IF(ISNA(MATCH(C143,po_code,0)),"Poste inconnu",IF(N(E143)&lt;=0,"Temps par pièce manquant","OK")))))</f>
        <v/>
      </c>
    </row>
    <row r="144">
      <c r="A144" s="53" t="n"/>
      <c r="B144" s="53" t="n"/>
      <c r="C144" s="57" t="n"/>
      <c r="D144" s="92" t="n"/>
      <c r="E144" s="93" t="n"/>
      <c r="F144" s="59" t="str">
        <f>IF(N(E144)&gt;0,60/E144,"")</f>
        <v/>
      </c>
      <c r="G144" s="58" t="str">
        <f>IF(A144="","",IF(COUNTIF($A$6:$A$305,A144)&gt;1,"Référence en double",IF(C144="","Poste manquant",IF(ISNA(MATCH(C144,po_code,0)),"Poste inconnu",IF(N(E144)&lt;=0,"Temps par pièce manquant","OK")))))</f>
        <v/>
      </c>
    </row>
    <row r="145">
      <c r="A145" s="53" t="n"/>
      <c r="B145" s="53" t="n"/>
      <c r="C145" s="57" t="n"/>
      <c r="D145" s="92" t="n"/>
      <c r="E145" s="93" t="n"/>
      <c r="F145" s="59" t="str">
        <f>IF(N(E145)&gt;0,60/E145,"")</f>
        <v/>
      </c>
      <c r="G145" s="58" t="str">
        <f>IF(A145="","",IF(COUNTIF($A$6:$A$305,A145)&gt;1,"Référence en double",IF(C145="","Poste manquant",IF(ISNA(MATCH(C145,po_code,0)),"Poste inconnu",IF(N(E145)&lt;=0,"Temps par pièce manquant","OK")))))</f>
        <v/>
      </c>
    </row>
    <row r="146">
      <c r="A146" s="53" t="n"/>
      <c r="B146" s="53" t="n"/>
      <c r="C146" s="57" t="n"/>
      <c r="D146" s="92" t="n"/>
      <c r="E146" s="93" t="n"/>
      <c r="F146" s="59" t="str">
        <f>IF(N(E146)&gt;0,60/E146,"")</f>
        <v/>
      </c>
      <c r="G146" s="58" t="str">
        <f>IF(A146="","",IF(COUNTIF($A$6:$A$305,A146)&gt;1,"Référence en double",IF(C146="","Poste manquant",IF(ISNA(MATCH(C146,po_code,0)),"Poste inconnu",IF(N(E146)&lt;=0,"Temps par pièce manquant","OK")))))</f>
        <v/>
      </c>
    </row>
    <row r="147">
      <c r="A147" s="53" t="n"/>
      <c r="B147" s="53" t="n"/>
      <c r="C147" s="57" t="n"/>
      <c r="D147" s="92" t="n"/>
      <c r="E147" s="93" t="n"/>
      <c r="F147" s="59" t="str">
        <f>IF(N(E147)&gt;0,60/E147,"")</f>
        <v/>
      </c>
      <c r="G147" s="58" t="str">
        <f>IF(A147="","",IF(COUNTIF($A$6:$A$305,A147)&gt;1,"Référence en double",IF(C147="","Poste manquant",IF(ISNA(MATCH(C147,po_code,0)),"Poste inconnu",IF(N(E147)&lt;=0,"Temps par pièce manquant","OK")))))</f>
        <v/>
      </c>
    </row>
    <row r="148">
      <c r="A148" s="53" t="n"/>
      <c r="B148" s="53" t="n"/>
      <c r="C148" s="57" t="n"/>
      <c r="D148" s="92" t="n"/>
      <c r="E148" s="93" t="n"/>
      <c r="F148" s="59" t="str">
        <f>IF(N(E148)&gt;0,60/E148,"")</f>
        <v/>
      </c>
      <c r="G148" s="58" t="str">
        <f>IF(A148="","",IF(COUNTIF($A$6:$A$305,A148)&gt;1,"Référence en double",IF(C148="","Poste manquant",IF(ISNA(MATCH(C148,po_code,0)),"Poste inconnu",IF(N(E148)&lt;=0,"Temps par pièce manquant","OK")))))</f>
        <v/>
      </c>
    </row>
    <row r="149">
      <c r="A149" s="53" t="n"/>
      <c r="B149" s="53" t="n"/>
      <c r="C149" s="57" t="n"/>
      <c r="D149" s="92" t="n"/>
      <c r="E149" s="93" t="n"/>
      <c r="F149" s="59" t="str">
        <f>IF(N(E149)&gt;0,60/E149,"")</f>
        <v/>
      </c>
      <c r="G149" s="58" t="str">
        <f>IF(A149="","",IF(COUNTIF($A$6:$A$305,A149)&gt;1,"Référence en double",IF(C149="","Poste manquant",IF(ISNA(MATCH(C149,po_code,0)),"Poste inconnu",IF(N(E149)&lt;=0,"Temps par pièce manquant","OK")))))</f>
        <v/>
      </c>
    </row>
    <row r="150">
      <c r="A150" s="53" t="n"/>
      <c r="B150" s="53" t="n"/>
      <c r="C150" s="57" t="n"/>
      <c r="D150" s="92" t="n"/>
      <c r="E150" s="93" t="n"/>
      <c r="F150" s="59" t="str">
        <f>IF(N(E150)&gt;0,60/E150,"")</f>
        <v/>
      </c>
      <c r="G150" s="58" t="str">
        <f>IF(A150="","",IF(COUNTIF($A$6:$A$305,A150)&gt;1,"Référence en double",IF(C150="","Poste manquant",IF(ISNA(MATCH(C150,po_code,0)),"Poste inconnu",IF(N(E150)&lt;=0,"Temps par pièce manquant","OK")))))</f>
        <v/>
      </c>
    </row>
    <row r="151">
      <c r="A151" s="53" t="n"/>
      <c r="B151" s="53" t="n"/>
      <c r="C151" s="57" t="n"/>
      <c r="D151" s="92" t="n"/>
      <c r="E151" s="93" t="n"/>
      <c r="F151" s="59" t="str">
        <f>IF(N(E151)&gt;0,60/E151,"")</f>
        <v/>
      </c>
      <c r="G151" s="58" t="str">
        <f>IF(A151="","",IF(COUNTIF($A$6:$A$305,A151)&gt;1,"Référence en double",IF(C151="","Poste manquant",IF(ISNA(MATCH(C151,po_code,0)),"Poste inconnu",IF(N(E151)&lt;=0,"Temps par pièce manquant","OK")))))</f>
        <v/>
      </c>
    </row>
    <row r="152">
      <c r="A152" s="53" t="n"/>
      <c r="B152" s="53" t="n"/>
      <c r="C152" s="57" t="n"/>
      <c r="D152" s="92" t="n"/>
      <c r="E152" s="93" t="n"/>
      <c r="F152" s="59" t="str">
        <f>IF(N(E152)&gt;0,60/E152,"")</f>
        <v/>
      </c>
      <c r="G152" s="58" t="str">
        <f>IF(A152="","",IF(COUNTIF($A$6:$A$305,A152)&gt;1,"Référence en double",IF(C152="","Poste manquant",IF(ISNA(MATCH(C152,po_code,0)),"Poste inconnu",IF(N(E152)&lt;=0,"Temps par pièce manquant","OK")))))</f>
        <v/>
      </c>
    </row>
    <row r="153">
      <c r="A153" s="53" t="n"/>
      <c r="B153" s="53" t="n"/>
      <c r="C153" s="57" t="n"/>
      <c r="D153" s="92" t="n"/>
      <c r="E153" s="93" t="n"/>
      <c r="F153" s="59" t="str">
        <f>IF(N(E153)&gt;0,60/E153,"")</f>
        <v/>
      </c>
      <c r="G153" s="58" t="str">
        <f>IF(A153="","",IF(COUNTIF($A$6:$A$305,A153)&gt;1,"Référence en double",IF(C153="","Poste manquant",IF(ISNA(MATCH(C153,po_code,0)),"Poste inconnu",IF(N(E153)&lt;=0,"Temps par pièce manquant","OK")))))</f>
        <v/>
      </c>
    </row>
    <row r="154">
      <c r="A154" s="53" t="n"/>
      <c r="B154" s="53" t="n"/>
      <c r="C154" s="57" t="n"/>
      <c r="D154" s="92" t="n"/>
      <c r="E154" s="93" t="n"/>
      <c r="F154" s="59" t="str">
        <f>IF(N(E154)&gt;0,60/E154,"")</f>
        <v/>
      </c>
      <c r="G154" s="58" t="str">
        <f>IF(A154="","",IF(COUNTIF($A$6:$A$305,A154)&gt;1,"Référence en double",IF(C154="","Poste manquant",IF(ISNA(MATCH(C154,po_code,0)),"Poste inconnu",IF(N(E154)&lt;=0,"Temps par pièce manquant","OK")))))</f>
        <v/>
      </c>
    </row>
    <row r="155">
      <c r="A155" s="53" t="n"/>
      <c r="B155" s="53" t="n"/>
      <c r="C155" s="57" t="n"/>
      <c r="D155" s="92" t="n"/>
      <c r="E155" s="93" t="n"/>
      <c r="F155" s="59" t="str">
        <f>IF(N(E155)&gt;0,60/E155,"")</f>
        <v/>
      </c>
      <c r="G155" s="58" t="str">
        <f>IF(A155="","",IF(COUNTIF($A$6:$A$305,A155)&gt;1,"Référence en double",IF(C155="","Poste manquant",IF(ISNA(MATCH(C155,po_code,0)),"Poste inconnu",IF(N(E155)&lt;=0,"Temps par pièce manquant","OK")))))</f>
        <v/>
      </c>
    </row>
    <row r="156">
      <c r="A156" s="53" t="n"/>
      <c r="B156" s="53" t="n"/>
      <c r="C156" s="57" t="n"/>
      <c r="D156" s="92" t="n"/>
      <c r="E156" s="93" t="n"/>
      <c r="F156" s="59" t="str">
        <f>IF(N(E156)&gt;0,60/E156,"")</f>
        <v/>
      </c>
      <c r="G156" s="58" t="str">
        <f>IF(A156="","",IF(COUNTIF($A$6:$A$305,A156)&gt;1,"Référence en double",IF(C156="","Poste manquant",IF(ISNA(MATCH(C156,po_code,0)),"Poste inconnu",IF(N(E156)&lt;=0,"Temps par pièce manquant","OK")))))</f>
        <v/>
      </c>
    </row>
    <row r="157">
      <c r="A157" s="53" t="n"/>
      <c r="B157" s="53" t="n"/>
      <c r="C157" s="57" t="n"/>
      <c r="D157" s="92" t="n"/>
      <c r="E157" s="93" t="n"/>
      <c r="F157" s="59" t="str">
        <f>IF(N(E157)&gt;0,60/E157,"")</f>
        <v/>
      </c>
      <c r="G157" s="58" t="str">
        <f>IF(A157="","",IF(COUNTIF($A$6:$A$305,A157)&gt;1,"Référence en double",IF(C157="","Poste manquant",IF(ISNA(MATCH(C157,po_code,0)),"Poste inconnu",IF(N(E157)&lt;=0,"Temps par pièce manquant","OK")))))</f>
        <v/>
      </c>
    </row>
    <row r="158">
      <c r="A158" s="53" t="n"/>
      <c r="B158" s="53" t="n"/>
      <c r="C158" s="57" t="n"/>
      <c r="D158" s="92" t="n"/>
      <c r="E158" s="93" t="n"/>
      <c r="F158" s="59" t="str">
        <f>IF(N(E158)&gt;0,60/E158,"")</f>
        <v/>
      </c>
      <c r="G158" s="58" t="str">
        <f>IF(A158="","",IF(COUNTIF($A$6:$A$305,A158)&gt;1,"Référence en double",IF(C158="","Poste manquant",IF(ISNA(MATCH(C158,po_code,0)),"Poste inconnu",IF(N(E158)&lt;=0,"Temps par pièce manquant","OK")))))</f>
        <v/>
      </c>
    </row>
    <row r="159">
      <c r="A159" s="53" t="n"/>
      <c r="B159" s="53" t="n"/>
      <c r="C159" s="57" t="n"/>
      <c r="D159" s="92" t="n"/>
      <c r="E159" s="93" t="n"/>
      <c r="F159" s="59" t="str">
        <f>IF(N(E159)&gt;0,60/E159,"")</f>
        <v/>
      </c>
      <c r="G159" s="58" t="str">
        <f>IF(A159="","",IF(COUNTIF($A$6:$A$305,A159)&gt;1,"Référence en double",IF(C159="","Poste manquant",IF(ISNA(MATCH(C159,po_code,0)),"Poste inconnu",IF(N(E159)&lt;=0,"Temps par pièce manquant","OK")))))</f>
        <v/>
      </c>
    </row>
    <row r="160">
      <c r="A160" s="53" t="n"/>
      <c r="B160" s="53" t="n"/>
      <c r="C160" s="57" t="n"/>
      <c r="D160" s="92" t="n"/>
      <c r="E160" s="93" t="n"/>
      <c r="F160" s="59" t="str">
        <f>IF(N(E160)&gt;0,60/E160,"")</f>
        <v/>
      </c>
      <c r="G160" s="58" t="str">
        <f>IF(A160="","",IF(COUNTIF($A$6:$A$305,A160)&gt;1,"Référence en double",IF(C160="","Poste manquant",IF(ISNA(MATCH(C160,po_code,0)),"Poste inconnu",IF(N(E160)&lt;=0,"Temps par pièce manquant","OK")))))</f>
        <v/>
      </c>
    </row>
    <row r="161">
      <c r="A161" s="53" t="n"/>
      <c r="B161" s="53" t="n"/>
      <c r="C161" s="57" t="n"/>
      <c r="D161" s="92" t="n"/>
      <c r="E161" s="93" t="n"/>
      <c r="F161" s="59" t="str">
        <f>IF(N(E161)&gt;0,60/E161,"")</f>
        <v/>
      </c>
      <c r="G161" s="58" t="str">
        <f>IF(A161="","",IF(COUNTIF($A$6:$A$305,A161)&gt;1,"Référence en double",IF(C161="","Poste manquant",IF(ISNA(MATCH(C161,po_code,0)),"Poste inconnu",IF(N(E161)&lt;=0,"Temps par pièce manquant","OK")))))</f>
        <v/>
      </c>
    </row>
    <row r="162">
      <c r="A162" s="53" t="n"/>
      <c r="B162" s="53" t="n"/>
      <c r="C162" s="57" t="n"/>
      <c r="D162" s="92" t="n"/>
      <c r="E162" s="93" t="n"/>
      <c r="F162" s="59" t="str">
        <f>IF(N(E162)&gt;0,60/E162,"")</f>
        <v/>
      </c>
      <c r="G162" s="58" t="str">
        <f>IF(A162="","",IF(COUNTIF($A$6:$A$305,A162)&gt;1,"Référence en double",IF(C162="","Poste manquant",IF(ISNA(MATCH(C162,po_code,0)),"Poste inconnu",IF(N(E162)&lt;=0,"Temps par pièce manquant","OK")))))</f>
        <v/>
      </c>
    </row>
    <row r="163">
      <c r="A163" s="53" t="n"/>
      <c r="B163" s="53" t="n"/>
      <c r="C163" s="57" t="n"/>
      <c r="D163" s="92" t="n"/>
      <c r="E163" s="93" t="n"/>
      <c r="F163" s="59" t="str">
        <f>IF(N(E163)&gt;0,60/E163,"")</f>
        <v/>
      </c>
      <c r="G163" s="58" t="str">
        <f>IF(A163="","",IF(COUNTIF($A$6:$A$305,A163)&gt;1,"Référence en double",IF(C163="","Poste manquant",IF(ISNA(MATCH(C163,po_code,0)),"Poste inconnu",IF(N(E163)&lt;=0,"Temps par pièce manquant","OK")))))</f>
        <v/>
      </c>
    </row>
    <row r="164">
      <c r="A164" s="53" t="n"/>
      <c r="B164" s="53" t="n"/>
      <c r="C164" s="57" t="n"/>
      <c r="D164" s="92" t="n"/>
      <c r="E164" s="93" t="n"/>
      <c r="F164" s="59" t="str">
        <f>IF(N(E164)&gt;0,60/E164,"")</f>
        <v/>
      </c>
      <c r="G164" s="58" t="str">
        <f>IF(A164="","",IF(COUNTIF($A$6:$A$305,A164)&gt;1,"Référence en double",IF(C164="","Poste manquant",IF(ISNA(MATCH(C164,po_code,0)),"Poste inconnu",IF(N(E164)&lt;=0,"Temps par pièce manquant","OK")))))</f>
        <v/>
      </c>
    </row>
    <row r="165">
      <c r="A165" s="53" t="n"/>
      <c r="B165" s="53" t="n"/>
      <c r="C165" s="57" t="n"/>
      <c r="D165" s="92" t="n"/>
      <c r="E165" s="93" t="n"/>
      <c r="F165" s="59" t="str">
        <f>IF(N(E165)&gt;0,60/E165,"")</f>
        <v/>
      </c>
      <c r="G165" s="58" t="str">
        <f>IF(A165="","",IF(COUNTIF($A$6:$A$305,A165)&gt;1,"Référence en double",IF(C165="","Poste manquant",IF(ISNA(MATCH(C165,po_code,0)),"Poste inconnu",IF(N(E165)&lt;=0,"Temps par pièce manquant","OK")))))</f>
        <v/>
      </c>
    </row>
    <row r="166">
      <c r="A166" s="53" t="n"/>
      <c r="B166" s="53" t="n"/>
      <c r="C166" s="57" t="n"/>
      <c r="D166" s="92" t="n"/>
      <c r="E166" s="93" t="n"/>
      <c r="F166" s="59" t="str">
        <f>IF(N(E166)&gt;0,60/E166,"")</f>
        <v/>
      </c>
      <c r="G166" s="58" t="str">
        <f>IF(A166="","",IF(COUNTIF($A$6:$A$305,A166)&gt;1,"Référence en double",IF(C166="","Poste manquant",IF(ISNA(MATCH(C166,po_code,0)),"Poste inconnu",IF(N(E166)&lt;=0,"Temps par pièce manquant","OK")))))</f>
        <v/>
      </c>
    </row>
    <row r="167">
      <c r="A167" s="53" t="n"/>
      <c r="B167" s="53" t="n"/>
      <c r="C167" s="57" t="n"/>
      <c r="D167" s="92" t="n"/>
      <c r="E167" s="93" t="n"/>
      <c r="F167" s="59" t="str">
        <f>IF(N(E167)&gt;0,60/E167,"")</f>
        <v/>
      </c>
      <c r="G167" s="58" t="str">
        <f>IF(A167="","",IF(COUNTIF($A$6:$A$305,A167)&gt;1,"Référence en double",IF(C167="","Poste manquant",IF(ISNA(MATCH(C167,po_code,0)),"Poste inconnu",IF(N(E167)&lt;=0,"Temps par pièce manquant","OK")))))</f>
        <v/>
      </c>
    </row>
    <row r="168">
      <c r="A168" s="53" t="n"/>
      <c r="B168" s="53" t="n"/>
      <c r="C168" s="57" t="n"/>
      <c r="D168" s="92" t="n"/>
      <c r="E168" s="93" t="n"/>
      <c r="F168" s="59" t="str">
        <f>IF(N(E168)&gt;0,60/E168,"")</f>
        <v/>
      </c>
      <c r="G168" s="58" t="str">
        <f>IF(A168="","",IF(COUNTIF($A$6:$A$305,A168)&gt;1,"Référence en double",IF(C168="","Poste manquant",IF(ISNA(MATCH(C168,po_code,0)),"Poste inconnu",IF(N(E168)&lt;=0,"Temps par pièce manquant","OK")))))</f>
        <v/>
      </c>
    </row>
    <row r="169">
      <c r="A169" s="53" t="n"/>
      <c r="B169" s="53" t="n"/>
      <c r="C169" s="57" t="n"/>
      <c r="D169" s="92" t="n"/>
      <c r="E169" s="93" t="n"/>
      <c r="F169" s="59" t="str">
        <f>IF(N(E169)&gt;0,60/E169,"")</f>
        <v/>
      </c>
      <c r="G169" s="58" t="str">
        <f>IF(A169="","",IF(COUNTIF($A$6:$A$305,A169)&gt;1,"Référence en double",IF(C169="","Poste manquant",IF(ISNA(MATCH(C169,po_code,0)),"Poste inconnu",IF(N(E169)&lt;=0,"Temps par pièce manquant","OK")))))</f>
        <v/>
      </c>
    </row>
    <row r="170">
      <c r="A170" s="53" t="n"/>
      <c r="B170" s="53" t="n"/>
      <c r="C170" s="57" t="n"/>
      <c r="D170" s="92" t="n"/>
      <c r="E170" s="93" t="n"/>
      <c r="F170" s="59" t="str">
        <f>IF(N(E170)&gt;0,60/E170,"")</f>
        <v/>
      </c>
      <c r="G170" s="58" t="str">
        <f>IF(A170="","",IF(COUNTIF($A$6:$A$305,A170)&gt;1,"Référence en double",IF(C170="","Poste manquant",IF(ISNA(MATCH(C170,po_code,0)),"Poste inconnu",IF(N(E170)&lt;=0,"Temps par pièce manquant","OK")))))</f>
        <v/>
      </c>
    </row>
    <row r="171">
      <c r="A171" s="53" t="n"/>
      <c r="B171" s="53" t="n"/>
      <c r="C171" s="57" t="n"/>
      <c r="D171" s="92" t="n"/>
      <c r="E171" s="93" t="n"/>
      <c r="F171" s="59" t="str">
        <f>IF(N(E171)&gt;0,60/E171,"")</f>
        <v/>
      </c>
      <c r="G171" s="58" t="str">
        <f>IF(A171="","",IF(COUNTIF($A$6:$A$305,A171)&gt;1,"Référence en double",IF(C171="","Poste manquant",IF(ISNA(MATCH(C171,po_code,0)),"Poste inconnu",IF(N(E171)&lt;=0,"Temps par pièce manquant","OK")))))</f>
        <v/>
      </c>
    </row>
    <row r="172">
      <c r="A172" s="53" t="n"/>
      <c r="B172" s="53" t="n"/>
      <c r="C172" s="57" t="n"/>
      <c r="D172" s="92" t="n"/>
      <c r="E172" s="93" t="n"/>
      <c r="F172" s="59" t="str">
        <f>IF(N(E172)&gt;0,60/E172,"")</f>
        <v/>
      </c>
      <c r="G172" s="58" t="str">
        <f>IF(A172="","",IF(COUNTIF($A$6:$A$305,A172)&gt;1,"Référence en double",IF(C172="","Poste manquant",IF(ISNA(MATCH(C172,po_code,0)),"Poste inconnu",IF(N(E172)&lt;=0,"Temps par pièce manquant","OK")))))</f>
        <v/>
      </c>
    </row>
    <row r="173">
      <c r="A173" s="53" t="n"/>
      <c r="B173" s="53" t="n"/>
      <c r="C173" s="57" t="n"/>
      <c r="D173" s="92" t="n"/>
      <c r="E173" s="93" t="n"/>
      <c r="F173" s="59" t="str">
        <f>IF(N(E173)&gt;0,60/E173,"")</f>
        <v/>
      </c>
      <c r="G173" s="58" t="str">
        <f>IF(A173="","",IF(COUNTIF($A$6:$A$305,A173)&gt;1,"Référence en double",IF(C173="","Poste manquant",IF(ISNA(MATCH(C173,po_code,0)),"Poste inconnu",IF(N(E173)&lt;=0,"Temps par pièce manquant","OK")))))</f>
        <v/>
      </c>
    </row>
    <row r="174">
      <c r="A174" s="53" t="n"/>
      <c r="B174" s="53" t="n"/>
      <c r="C174" s="57" t="n"/>
      <c r="D174" s="92" t="n"/>
      <c r="E174" s="93" t="n"/>
      <c r="F174" s="59" t="str">
        <f>IF(N(E174)&gt;0,60/E174,"")</f>
        <v/>
      </c>
      <c r="G174" s="58" t="str">
        <f>IF(A174="","",IF(COUNTIF($A$6:$A$305,A174)&gt;1,"Référence en double",IF(C174="","Poste manquant",IF(ISNA(MATCH(C174,po_code,0)),"Poste inconnu",IF(N(E174)&lt;=0,"Temps par pièce manquant","OK")))))</f>
        <v/>
      </c>
    </row>
    <row r="175">
      <c r="A175" s="53" t="n"/>
      <c r="B175" s="53" t="n"/>
      <c r="C175" s="57" t="n"/>
      <c r="D175" s="92" t="n"/>
      <c r="E175" s="93" t="n"/>
      <c r="F175" s="59" t="str">
        <f>IF(N(E175)&gt;0,60/E175,"")</f>
        <v/>
      </c>
      <c r="G175" s="58" t="str">
        <f>IF(A175="","",IF(COUNTIF($A$6:$A$305,A175)&gt;1,"Référence en double",IF(C175="","Poste manquant",IF(ISNA(MATCH(C175,po_code,0)),"Poste inconnu",IF(N(E175)&lt;=0,"Temps par pièce manquant","OK")))))</f>
        <v/>
      </c>
    </row>
    <row r="176">
      <c r="A176" s="53" t="n"/>
      <c r="B176" s="53" t="n"/>
      <c r="C176" s="57" t="n"/>
      <c r="D176" s="92" t="n"/>
      <c r="E176" s="93" t="n"/>
      <c r="F176" s="59" t="str">
        <f>IF(N(E176)&gt;0,60/E176,"")</f>
        <v/>
      </c>
      <c r="G176" s="58" t="str">
        <f>IF(A176="","",IF(COUNTIF($A$6:$A$305,A176)&gt;1,"Référence en double",IF(C176="","Poste manquant",IF(ISNA(MATCH(C176,po_code,0)),"Poste inconnu",IF(N(E176)&lt;=0,"Temps par pièce manquant","OK")))))</f>
        <v/>
      </c>
    </row>
    <row r="177">
      <c r="A177" s="53" t="n"/>
      <c r="B177" s="53" t="n"/>
      <c r="C177" s="57" t="n"/>
      <c r="D177" s="92" t="n"/>
      <c r="E177" s="93" t="n"/>
      <c r="F177" s="59" t="str">
        <f>IF(N(E177)&gt;0,60/E177,"")</f>
        <v/>
      </c>
      <c r="G177" s="58" t="str">
        <f>IF(A177="","",IF(COUNTIF($A$6:$A$305,A177)&gt;1,"Référence en double",IF(C177="","Poste manquant",IF(ISNA(MATCH(C177,po_code,0)),"Poste inconnu",IF(N(E177)&lt;=0,"Temps par pièce manquant","OK")))))</f>
        <v/>
      </c>
    </row>
    <row r="178">
      <c r="A178" s="53" t="n"/>
      <c r="B178" s="53" t="n"/>
      <c r="C178" s="57" t="n"/>
      <c r="D178" s="92" t="n"/>
      <c r="E178" s="93" t="n"/>
      <c r="F178" s="59" t="str">
        <f>IF(N(E178)&gt;0,60/E178,"")</f>
        <v/>
      </c>
      <c r="G178" s="58" t="str">
        <f>IF(A178="","",IF(COUNTIF($A$6:$A$305,A178)&gt;1,"Référence en double",IF(C178="","Poste manquant",IF(ISNA(MATCH(C178,po_code,0)),"Poste inconnu",IF(N(E178)&lt;=0,"Temps par pièce manquant","OK")))))</f>
        <v/>
      </c>
    </row>
    <row r="179">
      <c r="A179" s="53" t="n"/>
      <c r="B179" s="53" t="n"/>
      <c r="C179" s="57" t="n"/>
      <c r="D179" s="92" t="n"/>
      <c r="E179" s="93" t="n"/>
      <c r="F179" s="59" t="str">
        <f>IF(N(E179)&gt;0,60/E179,"")</f>
        <v/>
      </c>
      <c r="G179" s="58" t="str">
        <f>IF(A179="","",IF(COUNTIF($A$6:$A$305,A179)&gt;1,"Référence en double",IF(C179="","Poste manquant",IF(ISNA(MATCH(C179,po_code,0)),"Poste inconnu",IF(N(E179)&lt;=0,"Temps par pièce manquant","OK")))))</f>
        <v/>
      </c>
    </row>
    <row r="180">
      <c r="A180" s="53" t="n"/>
      <c r="B180" s="53" t="n"/>
      <c r="C180" s="57" t="n"/>
      <c r="D180" s="92" t="n"/>
      <c r="E180" s="93" t="n"/>
      <c r="F180" s="59" t="str">
        <f>IF(N(E180)&gt;0,60/E180,"")</f>
        <v/>
      </c>
      <c r="G180" s="58" t="str">
        <f>IF(A180="","",IF(COUNTIF($A$6:$A$305,A180)&gt;1,"Référence en double",IF(C180="","Poste manquant",IF(ISNA(MATCH(C180,po_code,0)),"Poste inconnu",IF(N(E180)&lt;=0,"Temps par pièce manquant","OK")))))</f>
        <v/>
      </c>
    </row>
    <row r="181">
      <c r="A181" s="53" t="n"/>
      <c r="B181" s="53" t="n"/>
      <c r="C181" s="57" t="n"/>
      <c r="D181" s="92" t="n"/>
      <c r="E181" s="93" t="n"/>
      <c r="F181" s="59" t="str">
        <f>IF(N(E181)&gt;0,60/E181,"")</f>
        <v/>
      </c>
      <c r="G181" s="58" t="str">
        <f>IF(A181="","",IF(COUNTIF($A$6:$A$305,A181)&gt;1,"Référence en double",IF(C181="","Poste manquant",IF(ISNA(MATCH(C181,po_code,0)),"Poste inconnu",IF(N(E181)&lt;=0,"Temps par pièce manquant","OK")))))</f>
        <v/>
      </c>
    </row>
    <row r="182">
      <c r="A182" s="53" t="n"/>
      <c r="B182" s="53" t="n"/>
      <c r="C182" s="57" t="n"/>
      <c r="D182" s="92" t="n"/>
      <c r="E182" s="93" t="n"/>
      <c r="F182" s="59" t="str">
        <f>IF(N(E182)&gt;0,60/E182,"")</f>
        <v/>
      </c>
      <c r="G182" s="58" t="str">
        <f>IF(A182="","",IF(COUNTIF($A$6:$A$305,A182)&gt;1,"Référence en double",IF(C182="","Poste manquant",IF(ISNA(MATCH(C182,po_code,0)),"Poste inconnu",IF(N(E182)&lt;=0,"Temps par pièce manquant","OK")))))</f>
        <v/>
      </c>
    </row>
    <row r="183">
      <c r="A183" s="53" t="n"/>
      <c r="B183" s="53" t="n"/>
      <c r="C183" s="57" t="n"/>
      <c r="D183" s="92" t="n"/>
      <c r="E183" s="93" t="n"/>
      <c r="F183" s="59" t="str">
        <f>IF(N(E183)&gt;0,60/E183,"")</f>
        <v/>
      </c>
      <c r="G183" s="58" t="str">
        <f>IF(A183="","",IF(COUNTIF($A$6:$A$305,A183)&gt;1,"Référence en double",IF(C183="","Poste manquant",IF(ISNA(MATCH(C183,po_code,0)),"Poste inconnu",IF(N(E183)&lt;=0,"Temps par pièce manquant","OK")))))</f>
        <v/>
      </c>
    </row>
    <row r="184">
      <c r="A184" s="53" t="n"/>
      <c r="B184" s="53" t="n"/>
      <c r="C184" s="57" t="n"/>
      <c r="D184" s="92" t="n"/>
      <c r="E184" s="93" t="n"/>
      <c r="F184" s="59" t="str">
        <f>IF(N(E184)&gt;0,60/E184,"")</f>
        <v/>
      </c>
      <c r="G184" s="58" t="str">
        <f>IF(A184="","",IF(COUNTIF($A$6:$A$305,A184)&gt;1,"Référence en double",IF(C184="","Poste manquant",IF(ISNA(MATCH(C184,po_code,0)),"Poste inconnu",IF(N(E184)&lt;=0,"Temps par pièce manquant","OK")))))</f>
        <v/>
      </c>
    </row>
    <row r="185">
      <c r="A185" s="53" t="n"/>
      <c r="B185" s="53" t="n"/>
      <c r="C185" s="57" t="n"/>
      <c r="D185" s="92" t="n"/>
      <c r="E185" s="93" t="n"/>
      <c r="F185" s="59" t="str">
        <f>IF(N(E185)&gt;0,60/E185,"")</f>
        <v/>
      </c>
      <c r="G185" s="58" t="str">
        <f>IF(A185="","",IF(COUNTIF($A$6:$A$305,A185)&gt;1,"Référence en double",IF(C185="","Poste manquant",IF(ISNA(MATCH(C185,po_code,0)),"Poste inconnu",IF(N(E185)&lt;=0,"Temps par pièce manquant","OK")))))</f>
        <v/>
      </c>
    </row>
    <row r="186">
      <c r="A186" s="53" t="n"/>
      <c r="B186" s="53" t="n"/>
      <c r="C186" s="57" t="n"/>
      <c r="D186" s="92" t="n"/>
      <c r="E186" s="93" t="n"/>
      <c r="F186" s="59" t="str">
        <f>IF(N(E186)&gt;0,60/E186,"")</f>
        <v/>
      </c>
      <c r="G186" s="58" t="str">
        <f>IF(A186="","",IF(COUNTIF($A$6:$A$305,A186)&gt;1,"Référence en double",IF(C186="","Poste manquant",IF(ISNA(MATCH(C186,po_code,0)),"Poste inconnu",IF(N(E186)&lt;=0,"Temps par pièce manquant","OK")))))</f>
        <v/>
      </c>
    </row>
    <row r="187">
      <c r="A187" s="53" t="n"/>
      <c r="B187" s="53" t="n"/>
      <c r="C187" s="57" t="n"/>
      <c r="D187" s="92" t="n"/>
      <c r="E187" s="93" t="n"/>
      <c r="F187" s="59" t="str">
        <f>IF(N(E187)&gt;0,60/E187,"")</f>
        <v/>
      </c>
      <c r="G187" s="58" t="str">
        <f>IF(A187="","",IF(COUNTIF($A$6:$A$305,A187)&gt;1,"Référence en double",IF(C187="","Poste manquant",IF(ISNA(MATCH(C187,po_code,0)),"Poste inconnu",IF(N(E187)&lt;=0,"Temps par pièce manquant","OK")))))</f>
        <v/>
      </c>
    </row>
    <row r="188">
      <c r="A188" s="53" t="n"/>
      <c r="B188" s="53" t="n"/>
      <c r="C188" s="57" t="n"/>
      <c r="D188" s="92" t="n"/>
      <c r="E188" s="93" t="n"/>
      <c r="F188" s="59" t="str">
        <f>IF(N(E188)&gt;0,60/E188,"")</f>
        <v/>
      </c>
      <c r="G188" s="58" t="str">
        <f>IF(A188="","",IF(COUNTIF($A$6:$A$305,A188)&gt;1,"Référence en double",IF(C188="","Poste manquant",IF(ISNA(MATCH(C188,po_code,0)),"Poste inconnu",IF(N(E188)&lt;=0,"Temps par pièce manquant","OK")))))</f>
        <v/>
      </c>
    </row>
    <row r="189">
      <c r="A189" s="53" t="n"/>
      <c r="B189" s="53" t="n"/>
      <c r="C189" s="57" t="n"/>
      <c r="D189" s="92" t="n"/>
      <c r="E189" s="93" t="n"/>
      <c r="F189" s="59" t="str">
        <f>IF(N(E189)&gt;0,60/E189,"")</f>
        <v/>
      </c>
      <c r="G189" s="58" t="str">
        <f>IF(A189="","",IF(COUNTIF($A$6:$A$305,A189)&gt;1,"Référence en double",IF(C189="","Poste manquant",IF(ISNA(MATCH(C189,po_code,0)),"Poste inconnu",IF(N(E189)&lt;=0,"Temps par pièce manquant","OK")))))</f>
        <v/>
      </c>
    </row>
    <row r="190">
      <c r="A190" s="53" t="n"/>
      <c r="B190" s="53" t="n"/>
      <c r="C190" s="57" t="n"/>
      <c r="D190" s="92" t="n"/>
      <c r="E190" s="93" t="n"/>
      <c r="F190" s="59" t="str">
        <f>IF(N(E190)&gt;0,60/E190,"")</f>
        <v/>
      </c>
      <c r="G190" s="58" t="str">
        <f>IF(A190="","",IF(COUNTIF($A$6:$A$305,A190)&gt;1,"Référence en double",IF(C190="","Poste manquant",IF(ISNA(MATCH(C190,po_code,0)),"Poste inconnu",IF(N(E190)&lt;=0,"Temps par pièce manquant","OK")))))</f>
        <v/>
      </c>
    </row>
    <row r="191">
      <c r="A191" s="53" t="n"/>
      <c r="B191" s="53" t="n"/>
      <c r="C191" s="57" t="n"/>
      <c r="D191" s="92" t="n"/>
      <c r="E191" s="93" t="n"/>
      <c r="F191" s="59" t="str">
        <f>IF(N(E191)&gt;0,60/E191,"")</f>
        <v/>
      </c>
      <c r="G191" s="58" t="str">
        <f>IF(A191="","",IF(COUNTIF($A$6:$A$305,A191)&gt;1,"Référence en double",IF(C191="","Poste manquant",IF(ISNA(MATCH(C191,po_code,0)),"Poste inconnu",IF(N(E191)&lt;=0,"Temps par pièce manquant","OK")))))</f>
        <v/>
      </c>
    </row>
    <row r="192">
      <c r="A192" s="53" t="n"/>
      <c r="B192" s="53" t="n"/>
      <c r="C192" s="57" t="n"/>
      <c r="D192" s="92" t="n"/>
      <c r="E192" s="93" t="n"/>
      <c r="F192" s="59" t="str">
        <f>IF(N(E192)&gt;0,60/E192,"")</f>
        <v/>
      </c>
      <c r="G192" s="58" t="str">
        <f>IF(A192="","",IF(COUNTIF($A$6:$A$305,A192)&gt;1,"Référence en double",IF(C192="","Poste manquant",IF(ISNA(MATCH(C192,po_code,0)),"Poste inconnu",IF(N(E192)&lt;=0,"Temps par pièce manquant","OK")))))</f>
        <v/>
      </c>
    </row>
    <row r="193">
      <c r="A193" s="53" t="n"/>
      <c r="B193" s="53" t="n"/>
      <c r="C193" s="57" t="n"/>
      <c r="D193" s="92" t="n"/>
      <c r="E193" s="93" t="n"/>
      <c r="F193" s="59" t="str">
        <f>IF(N(E193)&gt;0,60/E193,"")</f>
        <v/>
      </c>
      <c r="G193" s="58" t="str">
        <f>IF(A193="","",IF(COUNTIF($A$6:$A$305,A193)&gt;1,"Référence en double",IF(C193="","Poste manquant",IF(ISNA(MATCH(C193,po_code,0)),"Poste inconnu",IF(N(E193)&lt;=0,"Temps par pièce manquant","OK")))))</f>
        <v/>
      </c>
    </row>
    <row r="194">
      <c r="A194" s="53" t="n"/>
      <c r="B194" s="53" t="n"/>
      <c r="C194" s="57" t="n"/>
      <c r="D194" s="92" t="n"/>
      <c r="E194" s="93" t="n"/>
      <c r="F194" s="59" t="str">
        <f>IF(N(E194)&gt;0,60/E194,"")</f>
        <v/>
      </c>
      <c r="G194" s="58" t="str">
        <f>IF(A194="","",IF(COUNTIF($A$6:$A$305,A194)&gt;1,"Référence en double",IF(C194="","Poste manquant",IF(ISNA(MATCH(C194,po_code,0)),"Poste inconnu",IF(N(E194)&lt;=0,"Temps par pièce manquant","OK")))))</f>
        <v/>
      </c>
    </row>
    <row r="195">
      <c r="A195" s="53" t="n"/>
      <c r="B195" s="53" t="n"/>
      <c r="C195" s="57" t="n"/>
      <c r="D195" s="92" t="n"/>
      <c r="E195" s="93" t="n"/>
      <c r="F195" s="59" t="str">
        <f>IF(N(E195)&gt;0,60/E195,"")</f>
        <v/>
      </c>
      <c r="G195" s="58" t="str">
        <f>IF(A195="","",IF(COUNTIF($A$6:$A$305,A195)&gt;1,"Référence en double",IF(C195="","Poste manquant",IF(ISNA(MATCH(C195,po_code,0)),"Poste inconnu",IF(N(E195)&lt;=0,"Temps par pièce manquant","OK")))))</f>
        <v/>
      </c>
    </row>
    <row r="196">
      <c r="A196" s="53" t="n"/>
      <c r="B196" s="53" t="n"/>
      <c r="C196" s="57" t="n"/>
      <c r="D196" s="92" t="n"/>
      <c r="E196" s="93" t="n"/>
      <c r="F196" s="59" t="str">
        <f>IF(N(E196)&gt;0,60/E196,"")</f>
        <v/>
      </c>
      <c r="G196" s="58" t="str">
        <f>IF(A196="","",IF(COUNTIF($A$6:$A$305,A196)&gt;1,"Référence en double",IF(C196="","Poste manquant",IF(ISNA(MATCH(C196,po_code,0)),"Poste inconnu",IF(N(E196)&lt;=0,"Temps par pièce manquant","OK")))))</f>
        <v/>
      </c>
    </row>
    <row r="197">
      <c r="A197" s="53" t="n"/>
      <c r="B197" s="53" t="n"/>
      <c r="C197" s="57" t="n"/>
      <c r="D197" s="92" t="n"/>
      <c r="E197" s="93" t="n"/>
      <c r="F197" s="59" t="str">
        <f>IF(N(E197)&gt;0,60/E197,"")</f>
        <v/>
      </c>
      <c r="G197" s="58" t="str">
        <f>IF(A197="","",IF(COUNTIF($A$6:$A$305,A197)&gt;1,"Référence en double",IF(C197="","Poste manquant",IF(ISNA(MATCH(C197,po_code,0)),"Poste inconnu",IF(N(E197)&lt;=0,"Temps par pièce manquant","OK")))))</f>
        <v/>
      </c>
    </row>
    <row r="198">
      <c r="A198" s="53" t="n"/>
      <c r="B198" s="53" t="n"/>
      <c r="C198" s="57" t="n"/>
      <c r="D198" s="92" t="n"/>
      <c r="E198" s="93" t="n"/>
      <c r="F198" s="59" t="str">
        <f>IF(N(E198)&gt;0,60/E198,"")</f>
        <v/>
      </c>
      <c r="G198" s="58" t="str">
        <f>IF(A198="","",IF(COUNTIF($A$6:$A$305,A198)&gt;1,"Référence en double",IF(C198="","Poste manquant",IF(ISNA(MATCH(C198,po_code,0)),"Poste inconnu",IF(N(E198)&lt;=0,"Temps par pièce manquant","OK")))))</f>
        <v/>
      </c>
    </row>
    <row r="199">
      <c r="A199" s="53" t="n"/>
      <c r="B199" s="53" t="n"/>
      <c r="C199" s="57" t="n"/>
      <c r="D199" s="92" t="n"/>
      <c r="E199" s="93" t="n"/>
      <c r="F199" s="59" t="str">
        <f>IF(N(E199)&gt;0,60/E199,"")</f>
        <v/>
      </c>
      <c r="G199" s="58" t="str">
        <f>IF(A199="","",IF(COUNTIF($A$6:$A$305,A199)&gt;1,"Référence en double",IF(C199="","Poste manquant",IF(ISNA(MATCH(C199,po_code,0)),"Poste inconnu",IF(N(E199)&lt;=0,"Temps par pièce manquant","OK")))))</f>
        <v/>
      </c>
    </row>
    <row r="200">
      <c r="A200" s="53" t="n"/>
      <c r="B200" s="53" t="n"/>
      <c r="C200" s="57" t="n"/>
      <c r="D200" s="92" t="n"/>
      <c r="E200" s="93" t="n"/>
      <c r="F200" s="59" t="str">
        <f>IF(N(E200)&gt;0,60/E200,"")</f>
        <v/>
      </c>
      <c r="G200" s="58" t="str">
        <f>IF(A200="","",IF(COUNTIF($A$6:$A$305,A200)&gt;1,"Référence en double",IF(C200="","Poste manquant",IF(ISNA(MATCH(C200,po_code,0)),"Poste inconnu",IF(N(E200)&lt;=0,"Temps par pièce manquant","OK")))))</f>
        <v/>
      </c>
    </row>
    <row r="201">
      <c r="A201" s="53" t="n"/>
      <c r="B201" s="53" t="n"/>
      <c r="C201" s="57" t="n"/>
      <c r="D201" s="92" t="n"/>
      <c r="E201" s="93" t="n"/>
      <c r="F201" s="59" t="str">
        <f>IF(N(E201)&gt;0,60/E201,"")</f>
        <v/>
      </c>
      <c r="G201" s="58" t="str">
        <f>IF(A201="","",IF(COUNTIF($A$6:$A$305,A201)&gt;1,"Référence en double",IF(C201="","Poste manquant",IF(ISNA(MATCH(C201,po_code,0)),"Poste inconnu",IF(N(E201)&lt;=0,"Temps par pièce manquant","OK")))))</f>
        <v/>
      </c>
    </row>
    <row r="202">
      <c r="A202" s="53" t="n"/>
      <c r="B202" s="53" t="n"/>
      <c r="C202" s="57" t="n"/>
      <c r="D202" s="92" t="n"/>
      <c r="E202" s="93" t="n"/>
      <c r="F202" s="59" t="str">
        <f>IF(N(E202)&gt;0,60/E202,"")</f>
        <v/>
      </c>
      <c r="G202" s="58" t="str">
        <f>IF(A202="","",IF(COUNTIF($A$6:$A$305,A202)&gt;1,"Référence en double",IF(C202="","Poste manquant",IF(ISNA(MATCH(C202,po_code,0)),"Poste inconnu",IF(N(E202)&lt;=0,"Temps par pièce manquant","OK")))))</f>
        <v/>
      </c>
    </row>
    <row r="203">
      <c r="A203" s="53" t="n"/>
      <c r="B203" s="53" t="n"/>
      <c r="C203" s="57" t="n"/>
      <c r="D203" s="92" t="n"/>
      <c r="E203" s="93" t="n"/>
      <c r="F203" s="59" t="str">
        <f>IF(N(E203)&gt;0,60/E203,"")</f>
        <v/>
      </c>
      <c r="G203" s="58" t="str">
        <f>IF(A203="","",IF(COUNTIF($A$6:$A$305,A203)&gt;1,"Référence en double",IF(C203="","Poste manquant",IF(ISNA(MATCH(C203,po_code,0)),"Poste inconnu",IF(N(E203)&lt;=0,"Temps par pièce manquant","OK")))))</f>
        <v/>
      </c>
    </row>
    <row r="204">
      <c r="A204" s="53" t="n"/>
      <c r="B204" s="53" t="n"/>
      <c r="C204" s="57" t="n"/>
      <c r="D204" s="92" t="n"/>
      <c r="E204" s="93" t="n"/>
      <c r="F204" s="59" t="str">
        <f>IF(N(E204)&gt;0,60/E204,"")</f>
        <v/>
      </c>
      <c r="G204" s="58" t="str">
        <f>IF(A204="","",IF(COUNTIF($A$6:$A$305,A204)&gt;1,"Référence en double",IF(C204="","Poste manquant",IF(ISNA(MATCH(C204,po_code,0)),"Poste inconnu",IF(N(E204)&lt;=0,"Temps par pièce manquant","OK")))))</f>
        <v/>
      </c>
    </row>
    <row r="205">
      <c r="A205" s="53" t="n"/>
      <c r="B205" s="53" t="n"/>
      <c r="C205" s="57" t="n"/>
      <c r="D205" s="92" t="n"/>
      <c r="E205" s="93" t="n"/>
      <c r="F205" s="59" t="str">
        <f>IF(N(E205)&gt;0,60/E205,"")</f>
        <v/>
      </c>
      <c r="G205" s="58" t="str">
        <f>IF(A205="","",IF(COUNTIF($A$6:$A$305,A205)&gt;1,"Référence en double",IF(C205="","Poste manquant",IF(ISNA(MATCH(C205,po_code,0)),"Poste inconnu",IF(N(E205)&lt;=0,"Temps par pièce manquant","OK")))))</f>
        <v/>
      </c>
    </row>
    <row r="206">
      <c r="A206" s="53" t="n"/>
      <c r="B206" s="53" t="n"/>
      <c r="C206" s="57" t="n"/>
      <c r="D206" s="92" t="n"/>
      <c r="E206" s="93" t="n"/>
      <c r="F206" s="59" t="str">
        <f>IF(N(E206)&gt;0,60/E206,"")</f>
        <v/>
      </c>
      <c r="G206" s="58" t="str">
        <f>IF(A206="","",IF(COUNTIF($A$6:$A$305,A206)&gt;1,"Référence en double",IF(C206="","Poste manquant",IF(ISNA(MATCH(C206,po_code,0)),"Poste inconnu",IF(N(E206)&lt;=0,"Temps par pièce manquant","OK")))))</f>
        <v/>
      </c>
    </row>
    <row r="207">
      <c r="A207" s="53" t="n"/>
      <c r="B207" s="53" t="n"/>
      <c r="C207" s="57" t="n"/>
      <c r="D207" s="92" t="n"/>
      <c r="E207" s="93" t="n"/>
      <c r="F207" s="59" t="str">
        <f>IF(N(E207)&gt;0,60/E207,"")</f>
        <v/>
      </c>
      <c r="G207" s="58" t="str">
        <f>IF(A207="","",IF(COUNTIF($A$6:$A$305,A207)&gt;1,"Référence en double",IF(C207="","Poste manquant",IF(ISNA(MATCH(C207,po_code,0)),"Poste inconnu",IF(N(E207)&lt;=0,"Temps par pièce manquant","OK")))))</f>
        <v/>
      </c>
    </row>
    <row r="208">
      <c r="A208" s="53" t="n"/>
      <c r="B208" s="53" t="n"/>
      <c r="C208" s="57" t="n"/>
      <c r="D208" s="92" t="n"/>
      <c r="E208" s="93" t="n"/>
      <c r="F208" s="59" t="str">
        <f>IF(N(E208)&gt;0,60/E208,"")</f>
        <v/>
      </c>
      <c r="G208" s="58" t="str">
        <f>IF(A208="","",IF(COUNTIF($A$6:$A$305,A208)&gt;1,"Référence en double",IF(C208="","Poste manquant",IF(ISNA(MATCH(C208,po_code,0)),"Poste inconnu",IF(N(E208)&lt;=0,"Temps par pièce manquant","OK")))))</f>
        <v/>
      </c>
    </row>
    <row r="209">
      <c r="A209" s="53" t="n"/>
      <c r="B209" s="53" t="n"/>
      <c r="C209" s="57" t="n"/>
      <c r="D209" s="92" t="n"/>
      <c r="E209" s="93" t="n"/>
      <c r="F209" s="59" t="str">
        <f>IF(N(E209)&gt;0,60/E209,"")</f>
        <v/>
      </c>
      <c r="G209" s="58" t="str">
        <f>IF(A209="","",IF(COUNTIF($A$6:$A$305,A209)&gt;1,"Référence en double",IF(C209="","Poste manquant",IF(ISNA(MATCH(C209,po_code,0)),"Poste inconnu",IF(N(E209)&lt;=0,"Temps par pièce manquant","OK")))))</f>
        <v/>
      </c>
    </row>
    <row r="210">
      <c r="A210" s="53" t="n"/>
      <c r="B210" s="53" t="n"/>
      <c r="C210" s="57" t="n"/>
      <c r="D210" s="92" t="n"/>
      <c r="E210" s="93" t="n"/>
      <c r="F210" s="59" t="str">
        <f>IF(N(E210)&gt;0,60/E210,"")</f>
        <v/>
      </c>
      <c r="G210" s="58" t="str">
        <f>IF(A210="","",IF(COUNTIF($A$6:$A$305,A210)&gt;1,"Référence en double",IF(C210="","Poste manquant",IF(ISNA(MATCH(C210,po_code,0)),"Poste inconnu",IF(N(E210)&lt;=0,"Temps par pièce manquant","OK")))))</f>
        <v/>
      </c>
    </row>
    <row r="211">
      <c r="A211" s="53" t="n"/>
      <c r="B211" s="53" t="n"/>
      <c r="C211" s="57" t="n"/>
      <c r="D211" s="92" t="n"/>
      <c r="E211" s="93" t="n"/>
      <c r="F211" s="59" t="str">
        <f>IF(N(E211)&gt;0,60/E211,"")</f>
        <v/>
      </c>
      <c r="G211" s="58" t="str">
        <f>IF(A211="","",IF(COUNTIF($A$6:$A$305,A211)&gt;1,"Référence en double",IF(C211="","Poste manquant",IF(ISNA(MATCH(C211,po_code,0)),"Poste inconnu",IF(N(E211)&lt;=0,"Temps par pièce manquant","OK")))))</f>
        <v/>
      </c>
    </row>
    <row r="212">
      <c r="A212" s="53" t="n"/>
      <c r="B212" s="53" t="n"/>
      <c r="C212" s="57" t="n"/>
      <c r="D212" s="92" t="n"/>
      <c r="E212" s="93" t="n"/>
      <c r="F212" s="59" t="str">
        <f>IF(N(E212)&gt;0,60/E212,"")</f>
        <v/>
      </c>
      <c r="G212" s="58" t="str">
        <f>IF(A212="","",IF(COUNTIF($A$6:$A$305,A212)&gt;1,"Référence en double",IF(C212="","Poste manquant",IF(ISNA(MATCH(C212,po_code,0)),"Poste inconnu",IF(N(E212)&lt;=0,"Temps par pièce manquant","OK")))))</f>
        <v/>
      </c>
    </row>
    <row r="213">
      <c r="A213" s="53" t="n"/>
      <c r="B213" s="53" t="n"/>
      <c r="C213" s="57" t="n"/>
      <c r="D213" s="92" t="n"/>
      <c r="E213" s="93" t="n"/>
      <c r="F213" s="59" t="str">
        <f>IF(N(E213)&gt;0,60/E213,"")</f>
        <v/>
      </c>
      <c r="G213" s="58" t="str">
        <f>IF(A213="","",IF(COUNTIF($A$6:$A$305,A213)&gt;1,"Référence en double",IF(C213="","Poste manquant",IF(ISNA(MATCH(C213,po_code,0)),"Poste inconnu",IF(N(E213)&lt;=0,"Temps par pièce manquant","OK")))))</f>
        <v/>
      </c>
    </row>
    <row r="214">
      <c r="A214" s="53" t="n"/>
      <c r="B214" s="53" t="n"/>
      <c r="C214" s="57" t="n"/>
      <c r="D214" s="92" t="n"/>
      <c r="E214" s="93" t="n"/>
      <c r="F214" s="59" t="str">
        <f>IF(N(E214)&gt;0,60/E214,"")</f>
        <v/>
      </c>
      <c r="G214" s="58" t="str">
        <f>IF(A214="","",IF(COUNTIF($A$6:$A$305,A214)&gt;1,"Référence en double",IF(C214="","Poste manquant",IF(ISNA(MATCH(C214,po_code,0)),"Poste inconnu",IF(N(E214)&lt;=0,"Temps par pièce manquant","OK")))))</f>
        <v/>
      </c>
    </row>
    <row r="215">
      <c r="A215" s="53" t="n"/>
      <c r="B215" s="53" t="n"/>
      <c r="C215" s="57" t="n"/>
      <c r="D215" s="92" t="n"/>
      <c r="E215" s="93" t="n"/>
      <c r="F215" s="59" t="str">
        <f>IF(N(E215)&gt;0,60/E215,"")</f>
        <v/>
      </c>
      <c r="G215" s="58" t="str">
        <f>IF(A215="","",IF(COUNTIF($A$6:$A$305,A215)&gt;1,"Référence en double",IF(C215="","Poste manquant",IF(ISNA(MATCH(C215,po_code,0)),"Poste inconnu",IF(N(E215)&lt;=0,"Temps par pièce manquant","OK")))))</f>
        <v/>
      </c>
    </row>
    <row r="216">
      <c r="A216" s="53" t="n"/>
      <c r="B216" s="53" t="n"/>
      <c r="C216" s="57" t="n"/>
      <c r="D216" s="92" t="n"/>
      <c r="E216" s="93" t="n"/>
      <c r="F216" s="59" t="str">
        <f>IF(N(E216)&gt;0,60/E216,"")</f>
        <v/>
      </c>
      <c r="G216" s="58" t="str">
        <f>IF(A216="","",IF(COUNTIF($A$6:$A$305,A216)&gt;1,"Référence en double",IF(C216="","Poste manquant",IF(ISNA(MATCH(C216,po_code,0)),"Poste inconnu",IF(N(E216)&lt;=0,"Temps par pièce manquant","OK")))))</f>
        <v/>
      </c>
    </row>
    <row r="217">
      <c r="A217" s="53" t="n"/>
      <c r="B217" s="53" t="n"/>
      <c r="C217" s="57" t="n"/>
      <c r="D217" s="92" t="n"/>
      <c r="E217" s="93" t="n"/>
      <c r="F217" s="59" t="str">
        <f>IF(N(E217)&gt;0,60/E217,"")</f>
        <v/>
      </c>
      <c r="G217" s="58" t="str">
        <f>IF(A217="","",IF(COUNTIF($A$6:$A$305,A217)&gt;1,"Référence en double",IF(C217="","Poste manquant",IF(ISNA(MATCH(C217,po_code,0)),"Poste inconnu",IF(N(E217)&lt;=0,"Temps par pièce manquant","OK")))))</f>
        <v/>
      </c>
    </row>
    <row r="218">
      <c r="A218" s="53" t="n"/>
      <c r="B218" s="53" t="n"/>
      <c r="C218" s="57" t="n"/>
      <c r="D218" s="92" t="n"/>
      <c r="E218" s="93" t="n"/>
      <c r="F218" s="59" t="str">
        <f>IF(N(E218)&gt;0,60/E218,"")</f>
        <v/>
      </c>
      <c r="G218" s="58" t="str">
        <f>IF(A218="","",IF(COUNTIF($A$6:$A$305,A218)&gt;1,"Référence en double",IF(C218="","Poste manquant",IF(ISNA(MATCH(C218,po_code,0)),"Poste inconnu",IF(N(E218)&lt;=0,"Temps par pièce manquant","OK")))))</f>
        <v/>
      </c>
    </row>
    <row r="219">
      <c r="A219" s="53" t="n"/>
      <c r="B219" s="53" t="n"/>
      <c r="C219" s="57" t="n"/>
      <c r="D219" s="92" t="n"/>
      <c r="E219" s="93" t="n"/>
      <c r="F219" s="59" t="str">
        <f>IF(N(E219)&gt;0,60/E219,"")</f>
        <v/>
      </c>
      <c r="G219" s="58" t="str">
        <f>IF(A219="","",IF(COUNTIF($A$6:$A$305,A219)&gt;1,"Référence en double",IF(C219="","Poste manquant",IF(ISNA(MATCH(C219,po_code,0)),"Poste inconnu",IF(N(E219)&lt;=0,"Temps par pièce manquant","OK")))))</f>
        <v/>
      </c>
    </row>
    <row r="220">
      <c r="A220" s="53" t="n"/>
      <c r="B220" s="53" t="n"/>
      <c r="C220" s="57" t="n"/>
      <c r="D220" s="92" t="n"/>
      <c r="E220" s="93" t="n"/>
      <c r="F220" s="59" t="str">
        <f>IF(N(E220)&gt;0,60/E220,"")</f>
        <v/>
      </c>
      <c r="G220" s="58" t="str">
        <f>IF(A220="","",IF(COUNTIF($A$6:$A$305,A220)&gt;1,"Référence en double",IF(C220="","Poste manquant",IF(ISNA(MATCH(C220,po_code,0)),"Poste inconnu",IF(N(E220)&lt;=0,"Temps par pièce manquant","OK")))))</f>
        <v/>
      </c>
    </row>
    <row r="221">
      <c r="A221" s="53" t="n"/>
      <c r="B221" s="53" t="n"/>
      <c r="C221" s="57" t="n"/>
      <c r="D221" s="92" t="n"/>
      <c r="E221" s="93" t="n"/>
      <c r="F221" s="59" t="str">
        <f>IF(N(E221)&gt;0,60/E221,"")</f>
        <v/>
      </c>
      <c r="G221" s="58" t="str">
        <f>IF(A221="","",IF(COUNTIF($A$6:$A$305,A221)&gt;1,"Référence en double",IF(C221="","Poste manquant",IF(ISNA(MATCH(C221,po_code,0)),"Poste inconnu",IF(N(E221)&lt;=0,"Temps par pièce manquant","OK")))))</f>
        <v/>
      </c>
    </row>
    <row r="222">
      <c r="A222" s="53" t="n"/>
      <c r="B222" s="53" t="n"/>
      <c r="C222" s="57" t="n"/>
      <c r="D222" s="92" t="n"/>
      <c r="E222" s="93" t="n"/>
      <c r="F222" s="59" t="str">
        <f>IF(N(E222)&gt;0,60/E222,"")</f>
        <v/>
      </c>
      <c r="G222" s="58" t="str">
        <f>IF(A222="","",IF(COUNTIF($A$6:$A$305,A222)&gt;1,"Référence en double",IF(C222="","Poste manquant",IF(ISNA(MATCH(C222,po_code,0)),"Poste inconnu",IF(N(E222)&lt;=0,"Temps par pièce manquant","OK")))))</f>
        <v/>
      </c>
    </row>
    <row r="223">
      <c r="A223" s="53" t="n"/>
      <c r="B223" s="53" t="n"/>
      <c r="C223" s="57" t="n"/>
      <c r="D223" s="92" t="n"/>
      <c r="E223" s="93" t="n"/>
      <c r="F223" s="59" t="str">
        <f>IF(N(E223)&gt;0,60/E223,"")</f>
        <v/>
      </c>
      <c r="G223" s="58" t="str">
        <f>IF(A223="","",IF(COUNTIF($A$6:$A$305,A223)&gt;1,"Référence en double",IF(C223="","Poste manquant",IF(ISNA(MATCH(C223,po_code,0)),"Poste inconnu",IF(N(E223)&lt;=0,"Temps par pièce manquant","OK")))))</f>
        <v/>
      </c>
    </row>
    <row r="224">
      <c r="A224" s="53" t="n"/>
      <c r="B224" s="53" t="n"/>
      <c r="C224" s="57" t="n"/>
      <c r="D224" s="92" t="n"/>
      <c r="E224" s="93" t="n"/>
      <c r="F224" s="59" t="str">
        <f>IF(N(E224)&gt;0,60/E224,"")</f>
        <v/>
      </c>
      <c r="G224" s="58" t="str">
        <f>IF(A224="","",IF(COUNTIF($A$6:$A$305,A224)&gt;1,"Référence en double",IF(C224="","Poste manquant",IF(ISNA(MATCH(C224,po_code,0)),"Poste inconnu",IF(N(E224)&lt;=0,"Temps par pièce manquant","OK")))))</f>
        <v/>
      </c>
    </row>
    <row r="225">
      <c r="A225" s="53" t="n"/>
      <c r="B225" s="53" t="n"/>
      <c r="C225" s="57" t="n"/>
      <c r="D225" s="92" t="n"/>
      <c r="E225" s="93" t="n"/>
      <c r="F225" s="59" t="str">
        <f>IF(N(E225)&gt;0,60/E225,"")</f>
        <v/>
      </c>
      <c r="G225" s="58" t="str">
        <f>IF(A225="","",IF(COUNTIF($A$6:$A$305,A225)&gt;1,"Référence en double",IF(C225="","Poste manquant",IF(ISNA(MATCH(C225,po_code,0)),"Poste inconnu",IF(N(E225)&lt;=0,"Temps par pièce manquant","OK")))))</f>
        <v/>
      </c>
    </row>
    <row r="226">
      <c r="A226" s="53" t="n"/>
      <c r="B226" s="53" t="n"/>
      <c r="C226" s="57" t="n"/>
      <c r="D226" s="92" t="n"/>
      <c r="E226" s="93" t="n"/>
      <c r="F226" s="59" t="str">
        <f>IF(N(E226)&gt;0,60/E226,"")</f>
        <v/>
      </c>
      <c r="G226" s="58" t="str">
        <f>IF(A226="","",IF(COUNTIF($A$6:$A$305,A226)&gt;1,"Référence en double",IF(C226="","Poste manquant",IF(ISNA(MATCH(C226,po_code,0)),"Poste inconnu",IF(N(E226)&lt;=0,"Temps par pièce manquant","OK")))))</f>
        <v/>
      </c>
    </row>
    <row r="227">
      <c r="A227" s="53" t="n"/>
      <c r="B227" s="53" t="n"/>
      <c r="C227" s="57" t="n"/>
      <c r="D227" s="92" t="n"/>
      <c r="E227" s="93" t="n"/>
      <c r="F227" s="59" t="str">
        <f>IF(N(E227)&gt;0,60/E227,"")</f>
        <v/>
      </c>
      <c r="G227" s="58" t="str">
        <f>IF(A227="","",IF(COUNTIF($A$6:$A$305,A227)&gt;1,"Référence en double",IF(C227="","Poste manquant",IF(ISNA(MATCH(C227,po_code,0)),"Poste inconnu",IF(N(E227)&lt;=0,"Temps par pièce manquant","OK")))))</f>
        <v/>
      </c>
    </row>
    <row r="228">
      <c r="A228" s="53" t="n"/>
      <c r="B228" s="53" t="n"/>
      <c r="C228" s="57" t="n"/>
      <c r="D228" s="92" t="n"/>
      <c r="E228" s="93" t="n"/>
      <c r="F228" s="59" t="str">
        <f>IF(N(E228)&gt;0,60/E228,"")</f>
        <v/>
      </c>
      <c r="G228" s="58" t="str">
        <f>IF(A228="","",IF(COUNTIF($A$6:$A$305,A228)&gt;1,"Référence en double",IF(C228="","Poste manquant",IF(ISNA(MATCH(C228,po_code,0)),"Poste inconnu",IF(N(E228)&lt;=0,"Temps par pièce manquant","OK")))))</f>
        <v/>
      </c>
    </row>
    <row r="229">
      <c r="A229" s="53" t="n"/>
      <c r="B229" s="53" t="n"/>
      <c r="C229" s="57" t="n"/>
      <c r="D229" s="92" t="n"/>
      <c r="E229" s="93" t="n"/>
      <c r="F229" s="59" t="str">
        <f>IF(N(E229)&gt;0,60/E229,"")</f>
        <v/>
      </c>
      <c r="G229" s="58" t="str">
        <f>IF(A229="","",IF(COUNTIF($A$6:$A$305,A229)&gt;1,"Référence en double",IF(C229="","Poste manquant",IF(ISNA(MATCH(C229,po_code,0)),"Poste inconnu",IF(N(E229)&lt;=0,"Temps par pièce manquant","OK")))))</f>
        <v/>
      </c>
    </row>
    <row r="230">
      <c r="A230" s="53" t="n"/>
      <c r="B230" s="53" t="n"/>
      <c r="C230" s="57" t="n"/>
      <c r="D230" s="92" t="n"/>
      <c r="E230" s="93" t="n"/>
      <c r="F230" s="59" t="str">
        <f>IF(N(E230)&gt;0,60/E230,"")</f>
        <v/>
      </c>
      <c r="G230" s="58" t="str">
        <f>IF(A230="","",IF(COUNTIF($A$6:$A$305,A230)&gt;1,"Référence en double",IF(C230="","Poste manquant",IF(ISNA(MATCH(C230,po_code,0)),"Poste inconnu",IF(N(E230)&lt;=0,"Temps par pièce manquant","OK")))))</f>
        <v/>
      </c>
    </row>
    <row r="231">
      <c r="A231" s="53" t="n"/>
      <c r="B231" s="53" t="n"/>
      <c r="C231" s="57" t="n"/>
      <c r="D231" s="92" t="n"/>
      <c r="E231" s="93" t="n"/>
      <c r="F231" s="59" t="str">
        <f>IF(N(E231)&gt;0,60/E231,"")</f>
        <v/>
      </c>
      <c r="G231" s="58" t="str">
        <f>IF(A231="","",IF(COUNTIF($A$6:$A$305,A231)&gt;1,"Référence en double",IF(C231="","Poste manquant",IF(ISNA(MATCH(C231,po_code,0)),"Poste inconnu",IF(N(E231)&lt;=0,"Temps par pièce manquant","OK")))))</f>
        <v/>
      </c>
    </row>
    <row r="232">
      <c r="A232" s="53" t="n"/>
      <c r="B232" s="53" t="n"/>
      <c r="C232" s="57" t="n"/>
      <c r="D232" s="92" t="n"/>
      <c r="E232" s="93" t="n"/>
      <c r="F232" s="59" t="str">
        <f>IF(N(E232)&gt;0,60/E232,"")</f>
        <v/>
      </c>
      <c r="G232" s="58" t="str">
        <f>IF(A232="","",IF(COUNTIF($A$6:$A$305,A232)&gt;1,"Référence en double",IF(C232="","Poste manquant",IF(ISNA(MATCH(C232,po_code,0)),"Poste inconnu",IF(N(E232)&lt;=0,"Temps par pièce manquant","OK")))))</f>
        <v/>
      </c>
    </row>
    <row r="233">
      <c r="A233" s="53" t="n"/>
      <c r="B233" s="53" t="n"/>
      <c r="C233" s="57" t="n"/>
      <c r="D233" s="92" t="n"/>
      <c r="E233" s="93" t="n"/>
      <c r="F233" s="59" t="str">
        <f>IF(N(E233)&gt;0,60/E233,"")</f>
        <v/>
      </c>
      <c r="G233" s="58" t="str">
        <f>IF(A233="","",IF(COUNTIF($A$6:$A$305,A233)&gt;1,"Référence en double",IF(C233="","Poste manquant",IF(ISNA(MATCH(C233,po_code,0)),"Poste inconnu",IF(N(E233)&lt;=0,"Temps par pièce manquant","OK")))))</f>
        <v/>
      </c>
    </row>
    <row r="234">
      <c r="A234" s="53" t="n"/>
      <c r="B234" s="53" t="n"/>
      <c r="C234" s="57" t="n"/>
      <c r="D234" s="92" t="n"/>
      <c r="E234" s="93" t="n"/>
      <c r="F234" s="59" t="str">
        <f>IF(N(E234)&gt;0,60/E234,"")</f>
        <v/>
      </c>
      <c r="G234" s="58" t="str">
        <f>IF(A234="","",IF(COUNTIF($A$6:$A$305,A234)&gt;1,"Référence en double",IF(C234="","Poste manquant",IF(ISNA(MATCH(C234,po_code,0)),"Poste inconnu",IF(N(E234)&lt;=0,"Temps par pièce manquant","OK")))))</f>
        <v/>
      </c>
    </row>
    <row r="235">
      <c r="A235" s="53" t="n"/>
      <c r="B235" s="53" t="n"/>
      <c r="C235" s="57" t="n"/>
      <c r="D235" s="92" t="n"/>
      <c r="E235" s="93" t="n"/>
      <c r="F235" s="59" t="str">
        <f>IF(N(E235)&gt;0,60/E235,"")</f>
        <v/>
      </c>
      <c r="G235" s="58" t="str">
        <f>IF(A235="","",IF(COUNTIF($A$6:$A$305,A235)&gt;1,"Référence en double",IF(C235="","Poste manquant",IF(ISNA(MATCH(C235,po_code,0)),"Poste inconnu",IF(N(E235)&lt;=0,"Temps par pièce manquant","OK")))))</f>
        <v/>
      </c>
    </row>
    <row r="236">
      <c r="A236" s="53" t="n"/>
      <c r="B236" s="53" t="n"/>
      <c r="C236" s="57" t="n"/>
      <c r="D236" s="92" t="n"/>
      <c r="E236" s="93" t="n"/>
      <c r="F236" s="59" t="str">
        <f>IF(N(E236)&gt;0,60/E236,"")</f>
        <v/>
      </c>
      <c r="G236" s="58" t="str">
        <f>IF(A236="","",IF(COUNTIF($A$6:$A$305,A236)&gt;1,"Référence en double",IF(C236="","Poste manquant",IF(ISNA(MATCH(C236,po_code,0)),"Poste inconnu",IF(N(E236)&lt;=0,"Temps par pièce manquant","OK")))))</f>
        <v/>
      </c>
    </row>
    <row r="237">
      <c r="A237" s="53" t="n"/>
      <c r="B237" s="53" t="n"/>
      <c r="C237" s="57" t="n"/>
      <c r="D237" s="92" t="n"/>
      <c r="E237" s="93" t="n"/>
      <c r="F237" s="59" t="str">
        <f>IF(N(E237)&gt;0,60/E237,"")</f>
        <v/>
      </c>
      <c r="G237" s="58" t="str">
        <f>IF(A237="","",IF(COUNTIF($A$6:$A$305,A237)&gt;1,"Référence en double",IF(C237="","Poste manquant",IF(ISNA(MATCH(C237,po_code,0)),"Poste inconnu",IF(N(E237)&lt;=0,"Temps par pièce manquant","OK")))))</f>
        <v/>
      </c>
    </row>
    <row r="238">
      <c r="A238" s="53" t="n"/>
      <c r="B238" s="53" t="n"/>
      <c r="C238" s="57" t="n"/>
      <c r="D238" s="92" t="n"/>
      <c r="E238" s="93" t="n"/>
      <c r="F238" s="59" t="str">
        <f>IF(N(E238)&gt;0,60/E238,"")</f>
        <v/>
      </c>
      <c r="G238" s="58" t="str">
        <f>IF(A238="","",IF(COUNTIF($A$6:$A$305,A238)&gt;1,"Référence en double",IF(C238="","Poste manquant",IF(ISNA(MATCH(C238,po_code,0)),"Poste inconnu",IF(N(E238)&lt;=0,"Temps par pièce manquant","OK")))))</f>
        <v/>
      </c>
    </row>
    <row r="239">
      <c r="A239" s="53" t="n"/>
      <c r="B239" s="53" t="n"/>
      <c r="C239" s="57" t="n"/>
      <c r="D239" s="92" t="n"/>
      <c r="E239" s="93" t="n"/>
      <c r="F239" s="59" t="str">
        <f>IF(N(E239)&gt;0,60/E239,"")</f>
        <v/>
      </c>
      <c r="G239" s="58" t="str">
        <f>IF(A239="","",IF(COUNTIF($A$6:$A$305,A239)&gt;1,"Référence en double",IF(C239="","Poste manquant",IF(ISNA(MATCH(C239,po_code,0)),"Poste inconnu",IF(N(E239)&lt;=0,"Temps par pièce manquant","OK")))))</f>
        <v/>
      </c>
    </row>
    <row r="240">
      <c r="A240" s="53" t="n"/>
      <c r="B240" s="53" t="n"/>
      <c r="C240" s="57" t="n"/>
      <c r="D240" s="92" t="n"/>
      <c r="E240" s="93" t="n"/>
      <c r="F240" s="59" t="str">
        <f>IF(N(E240)&gt;0,60/E240,"")</f>
        <v/>
      </c>
      <c r="G240" s="58" t="str">
        <f>IF(A240="","",IF(COUNTIF($A$6:$A$305,A240)&gt;1,"Référence en double",IF(C240="","Poste manquant",IF(ISNA(MATCH(C240,po_code,0)),"Poste inconnu",IF(N(E240)&lt;=0,"Temps par pièce manquant","OK")))))</f>
        <v/>
      </c>
    </row>
    <row r="241">
      <c r="A241" s="53" t="n"/>
      <c r="B241" s="53" t="n"/>
      <c r="C241" s="57" t="n"/>
      <c r="D241" s="92" t="n"/>
      <c r="E241" s="93" t="n"/>
      <c r="F241" s="59" t="str">
        <f>IF(N(E241)&gt;0,60/E241,"")</f>
        <v/>
      </c>
      <c r="G241" s="58" t="str">
        <f>IF(A241="","",IF(COUNTIF($A$6:$A$305,A241)&gt;1,"Référence en double",IF(C241="","Poste manquant",IF(ISNA(MATCH(C241,po_code,0)),"Poste inconnu",IF(N(E241)&lt;=0,"Temps par pièce manquant","OK")))))</f>
        <v/>
      </c>
    </row>
    <row r="242">
      <c r="A242" s="53" t="n"/>
      <c r="B242" s="53" t="n"/>
      <c r="C242" s="57" t="n"/>
      <c r="D242" s="92" t="n"/>
      <c r="E242" s="93" t="n"/>
      <c r="F242" s="59" t="str">
        <f>IF(N(E242)&gt;0,60/E242,"")</f>
        <v/>
      </c>
      <c r="G242" s="58" t="str">
        <f>IF(A242="","",IF(COUNTIF($A$6:$A$305,A242)&gt;1,"Référence en double",IF(C242="","Poste manquant",IF(ISNA(MATCH(C242,po_code,0)),"Poste inconnu",IF(N(E242)&lt;=0,"Temps par pièce manquant","OK")))))</f>
        <v/>
      </c>
    </row>
    <row r="243">
      <c r="A243" s="53" t="n"/>
      <c r="B243" s="53" t="n"/>
      <c r="C243" s="57" t="n"/>
      <c r="D243" s="92" t="n"/>
      <c r="E243" s="93" t="n"/>
      <c r="F243" s="59" t="str">
        <f>IF(N(E243)&gt;0,60/E243,"")</f>
        <v/>
      </c>
      <c r="G243" s="58" t="str">
        <f>IF(A243="","",IF(COUNTIF($A$6:$A$305,A243)&gt;1,"Référence en double",IF(C243="","Poste manquant",IF(ISNA(MATCH(C243,po_code,0)),"Poste inconnu",IF(N(E243)&lt;=0,"Temps par pièce manquant","OK")))))</f>
        <v/>
      </c>
    </row>
    <row r="244">
      <c r="A244" s="53" t="n"/>
      <c r="B244" s="53" t="n"/>
      <c r="C244" s="57" t="n"/>
      <c r="D244" s="92" t="n"/>
      <c r="E244" s="93" t="n"/>
      <c r="F244" s="59" t="str">
        <f>IF(N(E244)&gt;0,60/E244,"")</f>
        <v/>
      </c>
      <c r="G244" s="58" t="str">
        <f>IF(A244="","",IF(COUNTIF($A$6:$A$305,A244)&gt;1,"Référence en double",IF(C244="","Poste manquant",IF(ISNA(MATCH(C244,po_code,0)),"Poste inconnu",IF(N(E244)&lt;=0,"Temps par pièce manquant","OK")))))</f>
        <v/>
      </c>
    </row>
    <row r="245">
      <c r="A245" s="53" t="n"/>
      <c r="B245" s="53" t="n"/>
      <c r="C245" s="57" t="n"/>
      <c r="D245" s="92" t="n"/>
      <c r="E245" s="93" t="n"/>
      <c r="F245" s="59" t="str">
        <f>IF(N(E245)&gt;0,60/E245,"")</f>
        <v/>
      </c>
      <c r="G245" s="58" t="str">
        <f>IF(A245="","",IF(COUNTIF($A$6:$A$305,A245)&gt;1,"Référence en double",IF(C245="","Poste manquant",IF(ISNA(MATCH(C245,po_code,0)),"Poste inconnu",IF(N(E245)&lt;=0,"Temps par pièce manquant","OK")))))</f>
        <v/>
      </c>
    </row>
    <row r="246">
      <c r="A246" s="53" t="n"/>
      <c r="B246" s="53" t="n"/>
      <c r="C246" s="57" t="n"/>
      <c r="D246" s="92" t="n"/>
      <c r="E246" s="93" t="n"/>
      <c r="F246" s="59" t="str">
        <f>IF(N(E246)&gt;0,60/E246,"")</f>
        <v/>
      </c>
      <c r="G246" s="58" t="str">
        <f>IF(A246="","",IF(COUNTIF($A$6:$A$305,A246)&gt;1,"Référence en double",IF(C246="","Poste manquant",IF(ISNA(MATCH(C246,po_code,0)),"Poste inconnu",IF(N(E246)&lt;=0,"Temps par pièce manquant","OK")))))</f>
        <v/>
      </c>
    </row>
    <row r="247">
      <c r="A247" s="53" t="n"/>
      <c r="B247" s="53" t="n"/>
      <c r="C247" s="57" t="n"/>
      <c r="D247" s="92" t="n"/>
      <c r="E247" s="93" t="n"/>
      <c r="F247" s="59" t="str">
        <f>IF(N(E247)&gt;0,60/E247,"")</f>
        <v/>
      </c>
      <c r="G247" s="58" t="str">
        <f>IF(A247="","",IF(COUNTIF($A$6:$A$305,A247)&gt;1,"Référence en double",IF(C247="","Poste manquant",IF(ISNA(MATCH(C247,po_code,0)),"Poste inconnu",IF(N(E247)&lt;=0,"Temps par pièce manquant","OK")))))</f>
        <v/>
      </c>
    </row>
    <row r="248">
      <c r="A248" s="53" t="n"/>
      <c r="B248" s="53" t="n"/>
      <c r="C248" s="57" t="n"/>
      <c r="D248" s="92" t="n"/>
      <c r="E248" s="93" t="n"/>
      <c r="F248" s="59" t="str">
        <f>IF(N(E248)&gt;0,60/E248,"")</f>
        <v/>
      </c>
      <c r="G248" s="58" t="str">
        <f>IF(A248="","",IF(COUNTIF($A$6:$A$305,A248)&gt;1,"Référence en double",IF(C248="","Poste manquant",IF(ISNA(MATCH(C248,po_code,0)),"Poste inconnu",IF(N(E248)&lt;=0,"Temps par pièce manquant","OK")))))</f>
        <v/>
      </c>
    </row>
    <row r="249">
      <c r="A249" s="53" t="n"/>
      <c r="B249" s="53" t="n"/>
      <c r="C249" s="57" t="n"/>
      <c r="D249" s="92" t="n"/>
      <c r="E249" s="93" t="n"/>
      <c r="F249" s="59" t="str">
        <f>IF(N(E249)&gt;0,60/E249,"")</f>
        <v/>
      </c>
      <c r="G249" s="58" t="str">
        <f>IF(A249="","",IF(COUNTIF($A$6:$A$305,A249)&gt;1,"Référence en double",IF(C249="","Poste manquant",IF(ISNA(MATCH(C249,po_code,0)),"Poste inconnu",IF(N(E249)&lt;=0,"Temps par pièce manquant","OK")))))</f>
        <v/>
      </c>
    </row>
    <row r="250">
      <c r="A250" s="53" t="n"/>
      <c r="B250" s="53" t="n"/>
      <c r="C250" s="57" t="n"/>
      <c r="D250" s="92" t="n"/>
      <c r="E250" s="93" t="n"/>
      <c r="F250" s="59" t="str">
        <f>IF(N(E250)&gt;0,60/E250,"")</f>
        <v/>
      </c>
      <c r="G250" s="58" t="str">
        <f>IF(A250="","",IF(COUNTIF($A$6:$A$305,A250)&gt;1,"Référence en double",IF(C250="","Poste manquant",IF(ISNA(MATCH(C250,po_code,0)),"Poste inconnu",IF(N(E250)&lt;=0,"Temps par pièce manquant","OK")))))</f>
        <v/>
      </c>
    </row>
    <row r="251">
      <c r="A251" s="53" t="n"/>
      <c r="B251" s="53" t="n"/>
      <c r="C251" s="57" t="n"/>
      <c r="D251" s="92" t="n"/>
      <c r="E251" s="93" t="n"/>
      <c r="F251" s="59" t="str">
        <f>IF(N(E251)&gt;0,60/E251,"")</f>
        <v/>
      </c>
      <c r="G251" s="58" t="str">
        <f>IF(A251="","",IF(COUNTIF($A$6:$A$305,A251)&gt;1,"Référence en double",IF(C251="","Poste manquant",IF(ISNA(MATCH(C251,po_code,0)),"Poste inconnu",IF(N(E251)&lt;=0,"Temps par pièce manquant","OK")))))</f>
        <v/>
      </c>
    </row>
    <row r="252">
      <c r="A252" s="53" t="n"/>
      <c r="B252" s="53" t="n"/>
      <c r="C252" s="57" t="n"/>
      <c r="D252" s="92" t="n"/>
      <c r="E252" s="93" t="n"/>
      <c r="F252" s="59" t="str">
        <f>IF(N(E252)&gt;0,60/E252,"")</f>
        <v/>
      </c>
      <c r="G252" s="58" t="str">
        <f>IF(A252="","",IF(COUNTIF($A$6:$A$305,A252)&gt;1,"Référence en double",IF(C252="","Poste manquant",IF(ISNA(MATCH(C252,po_code,0)),"Poste inconnu",IF(N(E252)&lt;=0,"Temps par pièce manquant","OK")))))</f>
        <v/>
      </c>
    </row>
    <row r="253">
      <c r="A253" s="53" t="n"/>
      <c r="B253" s="53" t="n"/>
      <c r="C253" s="57" t="n"/>
      <c r="D253" s="92" t="n"/>
      <c r="E253" s="93" t="n"/>
      <c r="F253" s="59" t="str">
        <f>IF(N(E253)&gt;0,60/E253,"")</f>
        <v/>
      </c>
      <c r="G253" s="58" t="str">
        <f>IF(A253="","",IF(COUNTIF($A$6:$A$305,A253)&gt;1,"Référence en double",IF(C253="","Poste manquant",IF(ISNA(MATCH(C253,po_code,0)),"Poste inconnu",IF(N(E253)&lt;=0,"Temps par pièce manquant","OK")))))</f>
        <v/>
      </c>
    </row>
    <row r="254">
      <c r="A254" s="53" t="n"/>
      <c r="B254" s="53" t="n"/>
      <c r="C254" s="57" t="n"/>
      <c r="D254" s="92" t="n"/>
      <c r="E254" s="93" t="n"/>
      <c r="F254" s="59" t="str">
        <f>IF(N(E254)&gt;0,60/E254,"")</f>
        <v/>
      </c>
      <c r="G254" s="58" t="str">
        <f>IF(A254="","",IF(COUNTIF($A$6:$A$305,A254)&gt;1,"Référence en double",IF(C254="","Poste manquant",IF(ISNA(MATCH(C254,po_code,0)),"Poste inconnu",IF(N(E254)&lt;=0,"Temps par pièce manquant","OK")))))</f>
        <v/>
      </c>
    </row>
    <row r="255">
      <c r="A255" s="53" t="n"/>
      <c r="B255" s="53" t="n"/>
      <c r="C255" s="57" t="n"/>
      <c r="D255" s="92" t="n"/>
      <c r="E255" s="93" t="n"/>
      <c r="F255" s="59" t="str">
        <f>IF(N(E255)&gt;0,60/E255,"")</f>
        <v/>
      </c>
      <c r="G255" s="58" t="str">
        <f>IF(A255="","",IF(COUNTIF($A$6:$A$305,A255)&gt;1,"Référence en double",IF(C255="","Poste manquant",IF(ISNA(MATCH(C255,po_code,0)),"Poste inconnu",IF(N(E255)&lt;=0,"Temps par pièce manquant","OK")))))</f>
        <v/>
      </c>
    </row>
    <row r="256">
      <c r="A256" s="53" t="n"/>
      <c r="B256" s="53" t="n"/>
      <c r="C256" s="57" t="n"/>
      <c r="D256" s="92" t="n"/>
      <c r="E256" s="93" t="n"/>
      <c r="F256" s="59" t="str">
        <f>IF(N(E256)&gt;0,60/E256,"")</f>
        <v/>
      </c>
      <c r="G256" s="58" t="str">
        <f>IF(A256="","",IF(COUNTIF($A$6:$A$305,A256)&gt;1,"Référence en double",IF(C256="","Poste manquant",IF(ISNA(MATCH(C256,po_code,0)),"Poste inconnu",IF(N(E256)&lt;=0,"Temps par pièce manquant","OK")))))</f>
        <v/>
      </c>
    </row>
    <row r="257">
      <c r="A257" s="53" t="n"/>
      <c r="B257" s="53" t="n"/>
      <c r="C257" s="57" t="n"/>
      <c r="D257" s="92" t="n"/>
      <c r="E257" s="93" t="n"/>
      <c r="F257" s="59" t="str">
        <f>IF(N(E257)&gt;0,60/E257,"")</f>
        <v/>
      </c>
      <c r="G257" s="58" t="str">
        <f>IF(A257="","",IF(COUNTIF($A$6:$A$305,A257)&gt;1,"Référence en double",IF(C257="","Poste manquant",IF(ISNA(MATCH(C257,po_code,0)),"Poste inconnu",IF(N(E257)&lt;=0,"Temps par pièce manquant","OK")))))</f>
        <v/>
      </c>
    </row>
    <row r="258">
      <c r="A258" s="53" t="n"/>
      <c r="B258" s="53" t="n"/>
      <c r="C258" s="57" t="n"/>
      <c r="D258" s="92" t="n"/>
      <c r="E258" s="93" t="n"/>
      <c r="F258" s="59" t="str">
        <f>IF(N(E258)&gt;0,60/E258,"")</f>
        <v/>
      </c>
      <c r="G258" s="58" t="str">
        <f>IF(A258="","",IF(COUNTIF($A$6:$A$305,A258)&gt;1,"Référence en double",IF(C258="","Poste manquant",IF(ISNA(MATCH(C258,po_code,0)),"Poste inconnu",IF(N(E258)&lt;=0,"Temps par pièce manquant","OK")))))</f>
        <v/>
      </c>
    </row>
    <row r="259">
      <c r="A259" s="53" t="n"/>
      <c r="B259" s="53" t="n"/>
      <c r="C259" s="57" t="n"/>
      <c r="D259" s="92" t="n"/>
      <c r="E259" s="93" t="n"/>
      <c r="F259" s="59" t="str">
        <f>IF(N(E259)&gt;0,60/E259,"")</f>
        <v/>
      </c>
      <c r="G259" s="58" t="str">
        <f>IF(A259="","",IF(COUNTIF($A$6:$A$305,A259)&gt;1,"Référence en double",IF(C259="","Poste manquant",IF(ISNA(MATCH(C259,po_code,0)),"Poste inconnu",IF(N(E259)&lt;=0,"Temps par pièce manquant","OK")))))</f>
        <v/>
      </c>
    </row>
    <row r="260">
      <c r="A260" s="53" t="n"/>
      <c r="B260" s="53" t="n"/>
      <c r="C260" s="57" t="n"/>
      <c r="D260" s="92" t="n"/>
      <c r="E260" s="93" t="n"/>
      <c r="F260" s="59" t="str">
        <f>IF(N(E260)&gt;0,60/E260,"")</f>
        <v/>
      </c>
      <c r="G260" s="58" t="str">
        <f>IF(A260="","",IF(COUNTIF($A$6:$A$305,A260)&gt;1,"Référence en double",IF(C260="","Poste manquant",IF(ISNA(MATCH(C260,po_code,0)),"Poste inconnu",IF(N(E260)&lt;=0,"Temps par pièce manquant","OK")))))</f>
        <v/>
      </c>
    </row>
    <row r="261">
      <c r="A261" s="53" t="n"/>
      <c r="B261" s="53" t="n"/>
      <c r="C261" s="57" t="n"/>
      <c r="D261" s="92" t="n"/>
      <c r="E261" s="93" t="n"/>
      <c r="F261" s="59" t="str">
        <f>IF(N(E261)&gt;0,60/E261,"")</f>
        <v/>
      </c>
      <c r="G261" s="58" t="str">
        <f>IF(A261="","",IF(COUNTIF($A$6:$A$305,A261)&gt;1,"Référence en double",IF(C261="","Poste manquant",IF(ISNA(MATCH(C261,po_code,0)),"Poste inconnu",IF(N(E261)&lt;=0,"Temps par pièce manquant","OK")))))</f>
        <v/>
      </c>
    </row>
    <row r="262">
      <c r="A262" s="53" t="n"/>
      <c r="B262" s="53" t="n"/>
      <c r="C262" s="57" t="n"/>
      <c r="D262" s="92" t="n"/>
      <c r="E262" s="93" t="n"/>
      <c r="F262" s="59" t="str">
        <f>IF(N(E262)&gt;0,60/E262,"")</f>
        <v/>
      </c>
      <c r="G262" s="58" t="str">
        <f>IF(A262="","",IF(COUNTIF($A$6:$A$305,A262)&gt;1,"Référence en double",IF(C262="","Poste manquant",IF(ISNA(MATCH(C262,po_code,0)),"Poste inconnu",IF(N(E262)&lt;=0,"Temps par pièce manquant","OK")))))</f>
        <v/>
      </c>
    </row>
    <row r="263">
      <c r="A263" s="53" t="n"/>
      <c r="B263" s="53" t="n"/>
      <c r="C263" s="57" t="n"/>
      <c r="D263" s="92" t="n"/>
      <c r="E263" s="93" t="n"/>
      <c r="F263" s="59" t="str">
        <f>IF(N(E263)&gt;0,60/E263,"")</f>
        <v/>
      </c>
      <c r="G263" s="58" t="str">
        <f>IF(A263="","",IF(COUNTIF($A$6:$A$305,A263)&gt;1,"Référence en double",IF(C263="","Poste manquant",IF(ISNA(MATCH(C263,po_code,0)),"Poste inconnu",IF(N(E263)&lt;=0,"Temps par pièce manquant","OK")))))</f>
        <v/>
      </c>
    </row>
    <row r="264">
      <c r="A264" s="53" t="n"/>
      <c r="B264" s="53" t="n"/>
      <c r="C264" s="57" t="n"/>
      <c r="D264" s="92" t="n"/>
      <c r="E264" s="93" t="n"/>
      <c r="F264" s="59" t="str">
        <f>IF(N(E264)&gt;0,60/E264,"")</f>
        <v/>
      </c>
      <c r="G264" s="58" t="str">
        <f>IF(A264="","",IF(COUNTIF($A$6:$A$305,A264)&gt;1,"Référence en double",IF(C264="","Poste manquant",IF(ISNA(MATCH(C264,po_code,0)),"Poste inconnu",IF(N(E264)&lt;=0,"Temps par pièce manquant","OK")))))</f>
        <v/>
      </c>
    </row>
    <row r="265">
      <c r="A265" s="53" t="n"/>
      <c r="B265" s="53" t="n"/>
      <c r="C265" s="57" t="n"/>
      <c r="D265" s="92" t="n"/>
      <c r="E265" s="93" t="n"/>
      <c r="F265" s="59" t="str">
        <f>IF(N(E265)&gt;0,60/E265,"")</f>
        <v/>
      </c>
      <c r="G265" s="58" t="str">
        <f>IF(A265="","",IF(COUNTIF($A$6:$A$305,A265)&gt;1,"Référence en double",IF(C265="","Poste manquant",IF(ISNA(MATCH(C265,po_code,0)),"Poste inconnu",IF(N(E265)&lt;=0,"Temps par pièce manquant","OK")))))</f>
        <v/>
      </c>
    </row>
    <row r="266">
      <c r="A266" s="53" t="n"/>
      <c r="B266" s="53" t="n"/>
      <c r="C266" s="57" t="n"/>
      <c r="D266" s="92" t="n"/>
      <c r="E266" s="93" t="n"/>
      <c r="F266" s="59" t="str">
        <f>IF(N(E266)&gt;0,60/E266,"")</f>
        <v/>
      </c>
      <c r="G266" s="58" t="str">
        <f>IF(A266="","",IF(COUNTIF($A$6:$A$305,A266)&gt;1,"Référence en double",IF(C266="","Poste manquant",IF(ISNA(MATCH(C266,po_code,0)),"Poste inconnu",IF(N(E266)&lt;=0,"Temps par pièce manquant","OK")))))</f>
        <v/>
      </c>
    </row>
    <row r="267">
      <c r="A267" s="53" t="n"/>
      <c r="B267" s="53" t="n"/>
      <c r="C267" s="57" t="n"/>
      <c r="D267" s="92" t="n"/>
      <c r="E267" s="93" t="n"/>
      <c r="F267" s="59" t="str">
        <f>IF(N(E267)&gt;0,60/E267,"")</f>
        <v/>
      </c>
      <c r="G267" s="58" t="str">
        <f>IF(A267="","",IF(COUNTIF($A$6:$A$305,A267)&gt;1,"Référence en double",IF(C267="","Poste manquant",IF(ISNA(MATCH(C267,po_code,0)),"Poste inconnu",IF(N(E267)&lt;=0,"Temps par pièce manquant","OK")))))</f>
        <v/>
      </c>
    </row>
    <row r="268">
      <c r="A268" s="53" t="n"/>
      <c r="B268" s="53" t="n"/>
      <c r="C268" s="57" t="n"/>
      <c r="D268" s="92" t="n"/>
      <c r="E268" s="93" t="n"/>
      <c r="F268" s="59" t="str">
        <f>IF(N(E268)&gt;0,60/E268,"")</f>
        <v/>
      </c>
      <c r="G268" s="58" t="str">
        <f>IF(A268="","",IF(COUNTIF($A$6:$A$305,A268)&gt;1,"Référence en double",IF(C268="","Poste manquant",IF(ISNA(MATCH(C268,po_code,0)),"Poste inconnu",IF(N(E268)&lt;=0,"Temps par pièce manquant","OK")))))</f>
        <v/>
      </c>
    </row>
    <row r="269">
      <c r="A269" s="53" t="n"/>
      <c r="B269" s="53" t="n"/>
      <c r="C269" s="57" t="n"/>
      <c r="D269" s="92" t="n"/>
      <c r="E269" s="93" t="n"/>
      <c r="F269" s="59" t="str">
        <f>IF(N(E269)&gt;0,60/E269,"")</f>
        <v/>
      </c>
      <c r="G269" s="58" t="str">
        <f>IF(A269="","",IF(COUNTIF($A$6:$A$305,A269)&gt;1,"Référence en double",IF(C269="","Poste manquant",IF(ISNA(MATCH(C269,po_code,0)),"Poste inconnu",IF(N(E269)&lt;=0,"Temps par pièce manquant","OK")))))</f>
        <v/>
      </c>
    </row>
    <row r="270">
      <c r="A270" s="53" t="n"/>
      <c r="B270" s="53" t="n"/>
      <c r="C270" s="57" t="n"/>
      <c r="D270" s="92" t="n"/>
      <c r="E270" s="93" t="n"/>
      <c r="F270" s="59" t="str">
        <f>IF(N(E270)&gt;0,60/E270,"")</f>
        <v/>
      </c>
      <c r="G270" s="58" t="str">
        <f>IF(A270="","",IF(COUNTIF($A$6:$A$305,A270)&gt;1,"Référence en double",IF(C270="","Poste manquant",IF(ISNA(MATCH(C270,po_code,0)),"Poste inconnu",IF(N(E270)&lt;=0,"Temps par pièce manquant","OK")))))</f>
        <v/>
      </c>
    </row>
    <row r="271">
      <c r="A271" s="53" t="n"/>
      <c r="B271" s="53" t="n"/>
      <c r="C271" s="57" t="n"/>
      <c r="D271" s="92" t="n"/>
      <c r="E271" s="93" t="n"/>
      <c r="F271" s="59" t="str">
        <f>IF(N(E271)&gt;0,60/E271,"")</f>
        <v/>
      </c>
      <c r="G271" s="58" t="str">
        <f>IF(A271="","",IF(COUNTIF($A$6:$A$305,A271)&gt;1,"Référence en double",IF(C271="","Poste manquant",IF(ISNA(MATCH(C271,po_code,0)),"Poste inconnu",IF(N(E271)&lt;=0,"Temps par pièce manquant","OK")))))</f>
        <v/>
      </c>
    </row>
    <row r="272">
      <c r="A272" s="53" t="n"/>
      <c r="B272" s="53" t="n"/>
      <c r="C272" s="57" t="n"/>
      <c r="D272" s="92" t="n"/>
      <c r="E272" s="93" t="n"/>
      <c r="F272" s="59" t="str">
        <f>IF(N(E272)&gt;0,60/E272,"")</f>
        <v/>
      </c>
      <c r="G272" s="58" t="str">
        <f>IF(A272="","",IF(COUNTIF($A$6:$A$305,A272)&gt;1,"Référence en double",IF(C272="","Poste manquant",IF(ISNA(MATCH(C272,po_code,0)),"Poste inconnu",IF(N(E272)&lt;=0,"Temps par pièce manquant","OK")))))</f>
        <v/>
      </c>
    </row>
    <row r="273">
      <c r="A273" s="53" t="n"/>
      <c r="B273" s="53" t="n"/>
      <c r="C273" s="57" t="n"/>
      <c r="D273" s="92" t="n"/>
      <c r="E273" s="93" t="n"/>
      <c r="F273" s="59" t="str">
        <f>IF(N(E273)&gt;0,60/E273,"")</f>
        <v/>
      </c>
      <c r="G273" s="58" t="str">
        <f>IF(A273="","",IF(COUNTIF($A$6:$A$305,A273)&gt;1,"Référence en double",IF(C273="","Poste manquant",IF(ISNA(MATCH(C273,po_code,0)),"Poste inconnu",IF(N(E273)&lt;=0,"Temps par pièce manquant","OK")))))</f>
        <v/>
      </c>
    </row>
    <row r="274">
      <c r="A274" s="53" t="n"/>
      <c r="B274" s="53" t="n"/>
      <c r="C274" s="57" t="n"/>
      <c r="D274" s="92" t="n"/>
      <c r="E274" s="93" t="n"/>
      <c r="F274" s="59" t="str">
        <f>IF(N(E274)&gt;0,60/E274,"")</f>
        <v/>
      </c>
      <c r="G274" s="58" t="str">
        <f>IF(A274="","",IF(COUNTIF($A$6:$A$305,A274)&gt;1,"Référence en double",IF(C274="","Poste manquant",IF(ISNA(MATCH(C274,po_code,0)),"Poste inconnu",IF(N(E274)&lt;=0,"Temps par pièce manquant","OK")))))</f>
        <v/>
      </c>
    </row>
    <row r="275">
      <c r="A275" s="53" t="n"/>
      <c r="B275" s="53" t="n"/>
      <c r="C275" s="57" t="n"/>
      <c r="D275" s="92" t="n"/>
      <c r="E275" s="93" t="n"/>
      <c r="F275" s="59" t="str">
        <f>IF(N(E275)&gt;0,60/E275,"")</f>
        <v/>
      </c>
      <c r="G275" s="58" t="str">
        <f>IF(A275="","",IF(COUNTIF($A$6:$A$305,A275)&gt;1,"Référence en double",IF(C275="","Poste manquant",IF(ISNA(MATCH(C275,po_code,0)),"Poste inconnu",IF(N(E275)&lt;=0,"Temps par pièce manquant","OK")))))</f>
        <v/>
      </c>
    </row>
    <row r="276">
      <c r="A276" s="53" t="n"/>
      <c r="B276" s="53" t="n"/>
      <c r="C276" s="57" t="n"/>
      <c r="D276" s="92" t="n"/>
      <c r="E276" s="93" t="n"/>
      <c r="F276" s="59" t="str">
        <f>IF(N(E276)&gt;0,60/E276,"")</f>
        <v/>
      </c>
      <c r="G276" s="58" t="str">
        <f>IF(A276="","",IF(COUNTIF($A$6:$A$305,A276)&gt;1,"Référence en double",IF(C276="","Poste manquant",IF(ISNA(MATCH(C276,po_code,0)),"Poste inconnu",IF(N(E276)&lt;=0,"Temps par pièce manquant","OK")))))</f>
        <v/>
      </c>
    </row>
    <row r="277">
      <c r="A277" s="53" t="n"/>
      <c r="B277" s="53" t="n"/>
      <c r="C277" s="57" t="n"/>
      <c r="D277" s="92" t="n"/>
      <c r="E277" s="93" t="n"/>
      <c r="F277" s="59" t="str">
        <f>IF(N(E277)&gt;0,60/E277,"")</f>
        <v/>
      </c>
      <c r="G277" s="58" t="str">
        <f>IF(A277="","",IF(COUNTIF($A$6:$A$305,A277)&gt;1,"Référence en double",IF(C277="","Poste manquant",IF(ISNA(MATCH(C277,po_code,0)),"Poste inconnu",IF(N(E277)&lt;=0,"Temps par pièce manquant","OK")))))</f>
        <v/>
      </c>
    </row>
    <row r="278">
      <c r="A278" s="53" t="n"/>
      <c r="B278" s="53" t="n"/>
      <c r="C278" s="57" t="n"/>
      <c r="D278" s="92" t="n"/>
      <c r="E278" s="93" t="n"/>
      <c r="F278" s="59" t="str">
        <f>IF(N(E278)&gt;0,60/E278,"")</f>
        <v/>
      </c>
      <c r="G278" s="58" t="str">
        <f>IF(A278="","",IF(COUNTIF($A$6:$A$305,A278)&gt;1,"Référence en double",IF(C278="","Poste manquant",IF(ISNA(MATCH(C278,po_code,0)),"Poste inconnu",IF(N(E278)&lt;=0,"Temps par pièce manquant","OK")))))</f>
        <v/>
      </c>
    </row>
    <row r="279">
      <c r="A279" s="53" t="n"/>
      <c r="B279" s="53" t="n"/>
      <c r="C279" s="57" t="n"/>
      <c r="D279" s="92" t="n"/>
      <c r="E279" s="93" t="n"/>
      <c r="F279" s="59" t="str">
        <f>IF(N(E279)&gt;0,60/E279,"")</f>
        <v/>
      </c>
      <c r="G279" s="58" t="str">
        <f>IF(A279="","",IF(COUNTIF($A$6:$A$305,A279)&gt;1,"Référence en double",IF(C279="","Poste manquant",IF(ISNA(MATCH(C279,po_code,0)),"Poste inconnu",IF(N(E279)&lt;=0,"Temps par pièce manquant","OK")))))</f>
        <v/>
      </c>
    </row>
    <row r="280">
      <c r="A280" s="53" t="n"/>
      <c r="B280" s="53" t="n"/>
      <c r="C280" s="57" t="n"/>
      <c r="D280" s="92" t="n"/>
      <c r="E280" s="93" t="n"/>
      <c r="F280" s="59" t="str">
        <f>IF(N(E280)&gt;0,60/E280,"")</f>
        <v/>
      </c>
      <c r="G280" s="58" t="str">
        <f>IF(A280="","",IF(COUNTIF($A$6:$A$305,A280)&gt;1,"Référence en double",IF(C280="","Poste manquant",IF(ISNA(MATCH(C280,po_code,0)),"Poste inconnu",IF(N(E280)&lt;=0,"Temps par pièce manquant","OK")))))</f>
        <v/>
      </c>
    </row>
    <row r="281">
      <c r="A281" s="53" t="n"/>
      <c r="B281" s="53" t="n"/>
      <c r="C281" s="57" t="n"/>
      <c r="D281" s="92" t="n"/>
      <c r="E281" s="93" t="n"/>
      <c r="F281" s="59" t="str">
        <f>IF(N(E281)&gt;0,60/E281,"")</f>
        <v/>
      </c>
      <c r="G281" s="58" t="str">
        <f>IF(A281="","",IF(COUNTIF($A$6:$A$305,A281)&gt;1,"Référence en double",IF(C281="","Poste manquant",IF(ISNA(MATCH(C281,po_code,0)),"Poste inconnu",IF(N(E281)&lt;=0,"Temps par pièce manquant","OK")))))</f>
        <v/>
      </c>
    </row>
    <row r="282">
      <c r="A282" s="53" t="n"/>
      <c r="B282" s="53" t="n"/>
      <c r="C282" s="57" t="n"/>
      <c r="D282" s="92" t="n"/>
      <c r="E282" s="93" t="n"/>
      <c r="F282" s="59" t="str">
        <f>IF(N(E282)&gt;0,60/E282,"")</f>
        <v/>
      </c>
      <c r="G282" s="58" t="str">
        <f>IF(A282="","",IF(COUNTIF($A$6:$A$305,A282)&gt;1,"Référence en double",IF(C282="","Poste manquant",IF(ISNA(MATCH(C282,po_code,0)),"Poste inconnu",IF(N(E282)&lt;=0,"Temps par pièce manquant","OK")))))</f>
        <v/>
      </c>
    </row>
    <row r="283">
      <c r="A283" s="53" t="n"/>
      <c r="B283" s="53" t="n"/>
      <c r="C283" s="57" t="n"/>
      <c r="D283" s="92" t="n"/>
      <c r="E283" s="93" t="n"/>
      <c r="F283" s="59" t="str">
        <f>IF(N(E283)&gt;0,60/E283,"")</f>
        <v/>
      </c>
      <c r="G283" s="58" t="str">
        <f>IF(A283="","",IF(COUNTIF($A$6:$A$305,A283)&gt;1,"Référence en double",IF(C283="","Poste manquant",IF(ISNA(MATCH(C283,po_code,0)),"Poste inconnu",IF(N(E283)&lt;=0,"Temps par pièce manquant","OK")))))</f>
        <v/>
      </c>
    </row>
    <row r="284">
      <c r="A284" s="53" t="n"/>
      <c r="B284" s="53" t="n"/>
      <c r="C284" s="57" t="n"/>
      <c r="D284" s="92" t="n"/>
      <c r="E284" s="93" t="n"/>
      <c r="F284" s="59" t="str">
        <f>IF(N(E284)&gt;0,60/E284,"")</f>
        <v/>
      </c>
      <c r="G284" s="58" t="str">
        <f>IF(A284="","",IF(COUNTIF($A$6:$A$305,A284)&gt;1,"Référence en double",IF(C284="","Poste manquant",IF(ISNA(MATCH(C284,po_code,0)),"Poste inconnu",IF(N(E284)&lt;=0,"Temps par pièce manquant","OK")))))</f>
        <v/>
      </c>
    </row>
    <row r="285">
      <c r="A285" s="53" t="n"/>
      <c r="B285" s="53" t="n"/>
      <c r="C285" s="57" t="n"/>
      <c r="D285" s="92" t="n"/>
      <c r="E285" s="93" t="n"/>
      <c r="F285" s="59" t="str">
        <f>IF(N(E285)&gt;0,60/E285,"")</f>
        <v/>
      </c>
      <c r="G285" s="58" t="str">
        <f>IF(A285="","",IF(COUNTIF($A$6:$A$305,A285)&gt;1,"Référence en double",IF(C285="","Poste manquant",IF(ISNA(MATCH(C285,po_code,0)),"Poste inconnu",IF(N(E285)&lt;=0,"Temps par pièce manquant","OK")))))</f>
        <v/>
      </c>
    </row>
    <row r="286">
      <c r="A286" s="53" t="n"/>
      <c r="B286" s="53" t="n"/>
      <c r="C286" s="57" t="n"/>
      <c r="D286" s="92" t="n"/>
      <c r="E286" s="93" t="n"/>
      <c r="F286" s="59" t="str">
        <f>IF(N(E286)&gt;0,60/E286,"")</f>
        <v/>
      </c>
      <c r="G286" s="58" t="str">
        <f>IF(A286="","",IF(COUNTIF($A$6:$A$305,A286)&gt;1,"Référence en double",IF(C286="","Poste manquant",IF(ISNA(MATCH(C286,po_code,0)),"Poste inconnu",IF(N(E286)&lt;=0,"Temps par pièce manquant","OK")))))</f>
        <v/>
      </c>
    </row>
    <row r="287">
      <c r="A287" s="53" t="n"/>
      <c r="B287" s="53" t="n"/>
      <c r="C287" s="57" t="n"/>
      <c r="D287" s="92" t="n"/>
      <c r="E287" s="93" t="n"/>
      <c r="F287" s="59" t="str">
        <f>IF(N(E287)&gt;0,60/E287,"")</f>
        <v/>
      </c>
      <c r="G287" s="58" t="str">
        <f>IF(A287="","",IF(COUNTIF($A$6:$A$305,A287)&gt;1,"Référence en double",IF(C287="","Poste manquant",IF(ISNA(MATCH(C287,po_code,0)),"Poste inconnu",IF(N(E287)&lt;=0,"Temps par pièce manquant","OK")))))</f>
        <v/>
      </c>
    </row>
    <row r="288">
      <c r="A288" s="53" t="n"/>
      <c r="B288" s="53" t="n"/>
      <c r="C288" s="57" t="n"/>
      <c r="D288" s="92" t="n"/>
      <c r="E288" s="93" t="n"/>
      <c r="F288" s="59" t="str">
        <f>IF(N(E288)&gt;0,60/E288,"")</f>
        <v/>
      </c>
      <c r="G288" s="58" t="str">
        <f>IF(A288="","",IF(COUNTIF($A$6:$A$305,A288)&gt;1,"Référence en double",IF(C288="","Poste manquant",IF(ISNA(MATCH(C288,po_code,0)),"Poste inconnu",IF(N(E288)&lt;=0,"Temps par pièce manquant","OK")))))</f>
        <v/>
      </c>
    </row>
    <row r="289">
      <c r="A289" s="53" t="n"/>
      <c r="B289" s="53" t="n"/>
      <c r="C289" s="57" t="n"/>
      <c r="D289" s="92" t="n"/>
      <c r="E289" s="93" t="n"/>
      <c r="F289" s="59" t="str">
        <f>IF(N(E289)&gt;0,60/E289,"")</f>
        <v/>
      </c>
      <c r="G289" s="58" t="str">
        <f>IF(A289="","",IF(COUNTIF($A$6:$A$305,A289)&gt;1,"Référence en double",IF(C289="","Poste manquant",IF(ISNA(MATCH(C289,po_code,0)),"Poste inconnu",IF(N(E289)&lt;=0,"Temps par pièce manquant","OK")))))</f>
        <v/>
      </c>
    </row>
    <row r="290">
      <c r="A290" s="53" t="n"/>
      <c r="B290" s="53" t="n"/>
      <c r="C290" s="57" t="n"/>
      <c r="D290" s="92" t="n"/>
      <c r="E290" s="93" t="n"/>
      <c r="F290" s="59" t="str">
        <f>IF(N(E290)&gt;0,60/E290,"")</f>
        <v/>
      </c>
      <c r="G290" s="58" t="str">
        <f>IF(A290="","",IF(COUNTIF($A$6:$A$305,A290)&gt;1,"Référence en double",IF(C290="","Poste manquant",IF(ISNA(MATCH(C290,po_code,0)),"Poste inconnu",IF(N(E290)&lt;=0,"Temps par pièce manquant","OK")))))</f>
        <v/>
      </c>
    </row>
    <row r="291">
      <c r="A291" s="53" t="n"/>
      <c r="B291" s="53" t="n"/>
      <c r="C291" s="57" t="n"/>
      <c r="D291" s="92" t="n"/>
      <c r="E291" s="93" t="n"/>
      <c r="F291" s="59" t="str">
        <f>IF(N(E291)&gt;0,60/E291,"")</f>
        <v/>
      </c>
      <c r="G291" s="58" t="str">
        <f>IF(A291="","",IF(COUNTIF($A$6:$A$305,A291)&gt;1,"Référence en double",IF(C291="","Poste manquant",IF(ISNA(MATCH(C291,po_code,0)),"Poste inconnu",IF(N(E291)&lt;=0,"Temps par pièce manquant","OK")))))</f>
        <v/>
      </c>
    </row>
    <row r="292">
      <c r="A292" s="53" t="n"/>
      <c r="B292" s="53" t="n"/>
      <c r="C292" s="57" t="n"/>
      <c r="D292" s="92" t="n"/>
      <c r="E292" s="93" t="n"/>
      <c r="F292" s="59" t="str">
        <f>IF(N(E292)&gt;0,60/E292,"")</f>
        <v/>
      </c>
      <c r="G292" s="58" t="str">
        <f>IF(A292="","",IF(COUNTIF($A$6:$A$305,A292)&gt;1,"Référence en double",IF(C292="","Poste manquant",IF(ISNA(MATCH(C292,po_code,0)),"Poste inconnu",IF(N(E292)&lt;=0,"Temps par pièce manquant","OK")))))</f>
        <v/>
      </c>
    </row>
    <row r="293">
      <c r="A293" s="53" t="n"/>
      <c r="B293" s="53" t="n"/>
      <c r="C293" s="57" t="n"/>
      <c r="D293" s="92" t="n"/>
      <c r="E293" s="93" t="n"/>
      <c r="F293" s="59" t="str">
        <f>IF(N(E293)&gt;0,60/E293,"")</f>
        <v/>
      </c>
      <c r="G293" s="58" t="str">
        <f>IF(A293="","",IF(COUNTIF($A$6:$A$305,A293)&gt;1,"Référence en double",IF(C293="","Poste manquant",IF(ISNA(MATCH(C293,po_code,0)),"Poste inconnu",IF(N(E293)&lt;=0,"Temps par pièce manquant","OK")))))</f>
        <v/>
      </c>
    </row>
    <row r="294">
      <c r="A294" s="53" t="n"/>
      <c r="B294" s="53" t="n"/>
      <c r="C294" s="57" t="n"/>
      <c r="D294" s="92" t="n"/>
      <c r="E294" s="93" t="n"/>
      <c r="F294" s="59" t="str">
        <f>IF(N(E294)&gt;0,60/E294,"")</f>
        <v/>
      </c>
      <c r="G294" s="58" t="str">
        <f>IF(A294="","",IF(COUNTIF($A$6:$A$305,A294)&gt;1,"Référence en double",IF(C294="","Poste manquant",IF(ISNA(MATCH(C294,po_code,0)),"Poste inconnu",IF(N(E294)&lt;=0,"Temps par pièce manquant","OK")))))</f>
        <v/>
      </c>
    </row>
    <row r="295">
      <c r="A295" s="53" t="n"/>
      <c r="B295" s="53" t="n"/>
      <c r="C295" s="57" t="n"/>
      <c r="D295" s="92" t="n"/>
      <c r="E295" s="93" t="n"/>
      <c r="F295" s="59" t="str">
        <f>IF(N(E295)&gt;0,60/E295,"")</f>
        <v/>
      </c>
      <c r="G295" s="58" t="str">
        <f>IF(A295="","",IF(COUNTIF($A$6:$A$305,A295)&gt;1,"Référence en double",IF(C295="","Poste manquant",IF(ISNA(MATCH(C295,po_code,0)),"Poste inconnu",IF(N(E295)&lt;=0,"Temps par pièce manquant","OK")))))</f>
        <v/>
      </c>
    </row>
    <row r="296">
      <c r="A296" s="53" t="n"/>
      <c r="B296" s="53" t="n"/>
      <c r="C296" s="57" t="n"/>
      <c r="D296" s="92" t="n"/>
      <c r="E296" s="93" t="n"/>
      <c r="F296" s="59" t="str">
        <f>IF(N(E296)&gt;0,60/E296,"")</f>
        <v/>
      </c>
      <c r="G296" s="58" t="str">
        <f>IF(A296="","",IF(COUNTIF($A$6:$A$305,A296)&gt;1,"Référence en double",IF(C296="","Poste manquant",IF(ISNA(MATCH(C296,po_code,0)),"Poste inconnu",IF(N(E296)&lt;=0,"Temps par pièce manquant","OK")))))</f>
        <v/>
      </c>
    </row>
    <row r="297">
      <c r="A297" s="53" t="n"/>
      <c r="B297" s="53" t="n"/>
      <c r="C297" s="57" t="n"/>
      <c r="D297" s="92" t="n"/>
      <c r="E297" s="93" t="n"/>
      <c r="F297" s="59" t="str">
        <f>IF(N(E297)&gt;0,60/E297,"")</f>
        <v/>
      </c>
      <c r="G297" s="58" t="str">
        <f>IF(A297="","",IF(COUNTIF($A$6:$A$305,A297)&gt;1,"Référence en double",IF(C297="","Poste manquant",IF(ISNA(MATCH(C297,po_code,0)),"Poste inconnu",IF(N(E297)&lt;=0,"Temps par pièce manquant","OK")))))</f>
        <v/>
      </c>
    </row>
    <row r="298">
      <c r="A298" s="53" t="n"/>
      <c r="B298" s="53" t="n"/>
      <c r="C298" s="57" t="n"/>
      <c r="D298" s="92" t="n"/>
      <c r="E298" s="93" t="n"/>
      <c r="F298" s="59" t="str">
        <f>IF(N(E298)&gt;0,60/E298,"")</f>
        <v/>
      </c>
      <c r="G298" s="58" t="str">
        <f>IF(A298="","",IF(COUNTIF($A$6:$A$305,A298)&gt;1,"Référence en double",IF(C298="","Poste manquant",IF(ISNA(MATCH(C298,po_code,0)),"Poste inconnu",IF(N(E298)&lt;=0,"Temps par pièce manquant","OK")))))</f>
        <v/>
      </c>
    </row>
    <row r="299">
      <c r="A299" s="53" t="n"/>
      <c r="B299" s="53" t="n"/>
      <c r="C299" s="57" t="n"/>
      <c r="D299" s="92" t="n"/>
      <c r="E299" s="93" t="n"/>
      <c r="F299" s="59" t="str">
        <f>IF(N(E299)&gt;0,60/E299,"")</f>
        <v/>
      </c>
      <c r="G299" s="58" t="str">
        <f>IF(A299="","",IF(COUNTIF($A$6:$A$305,A299)&gt;1,"Référence en double",IF(C299="","Poste manquant",IF(ISNA(MATCH(C299,po_code,0)),"Poste inconnu",IF(N(E299)&lt;=0,"Temps par pièce manquant","OK")))))</f>
        <v/>
      </c>
    </row>
    <row r="300">
      <c r="A300" s="53" t="n"/>
      <c r="B300" s="53" t="n"/>
      <c r="C300" s="57" t="n"/>
      <c r="D300" s="92" t="n"/>
      <c r="E300" s="93" t="n"/>
      <c r="F300" s="59" t="str">
        <f>IF(N(E300)&gt;0,60/E300,"")</f>
        <v/>
      </c>
      <c r="G300" s="58" t="str">
        <f>IF(A300="","",IF(COUNTIF($A$6:$A$305,A300)&gt;1,"Référence en double",IF(C300="","Poste manquant",IF(ISNA(MATCH(C300,po_code,0)),"Poste inconnu",IF(N(E300)&lt;=0,"Temps par pièce manquant","OK")))))</f>
        <v/>
      </c>
    </row>
    <row r="301">
      <c r="A301" s="53" t="n"/>
      <c r="B301" s="53" t="n"/>
      <c r="C301" s="57" t="n"/>
      <c r="D301" s="92" t="n"/>
      <c r="E301" s="93" t="n"/>
      <c r="F301" s="59" t="str">
        <f>IF(N(E301)&gt;0,60/E301,"")</f>
        <v/>
      </c>
      <c r="G301" s="58" t="str">
        <f>IF(A301="","",IF(COUNTIF($A$6:$A$305,A301)&gt;1,"Référence en double",IF(C301="","Poste manquant",IF(ISNA(MATCH(C301,po_code,0)),"Poste inconnu",IF(N(E301)&lt;=0,"Temps par pièce manquant","OK")))))</f>
        <v/>
      </c>
    </row>
    <row r="302">
      <c r="A302" s="53" t="n"/>
      <c r="B302" s="53" t="n"/>
      <c r="C302" s="57" t="n"/>
      <c r="D302" s="92" t="n"/>
      <c r="E302" s="93" t="n"/>
      <c r="F302" s="59" t="str">
        <f>IF(N(E302)&gt;0,60/E302,"")</f>
        <v/>
      </c>
      <c r="G302" s="58" t="str">
        <f>IF(A302="","",IF(COUNTIF($A$6:$A$305,A302)&gt;1,"Référence en double",IF(C302="","Poste manquant",IF(ISNA(MATCH(C302,po_code,0)),"Poste inconnu",IF(N(E302)&lt;=0,"Temps par pièce manquant","OK")))))</f>
        <v/>
      </c>
    </row>
    <row r="303">
      <c r="A303" s="53" t="n"/>
      <c r="B303" s="53" t="n"/>
      <c r="C303" s="57" t="n"/>
      <c r="D303" s="92" t="n"/>
      <c r="E303" s="93" t="n"/>
      <c r="F303" s="59" t="str">
        <f>IF(N(E303)&gt;0,60/E303,"")</f>
        <v/>
      </c>
      <c r="G303" s="58" t="str">
        <f>IF(A303="","",IF(COUNTIF($A$6:$A$305,A303)&gt;1,"Référence en double",IF(C303="","Poste manquant",IF(ISNA(MATCH(C303,po_code,0)),"Poste inconnu",IF(N(E303)&lt;=0,"Temps par pièce manquant","OK")))))</f>
        <v/>
      </c>
    </row>
    <row r="304">
      <c r="A304" s="53" t="n"/>
      <c r="B304" s="53" t="n"/>
      <c r="C304" s="57" t="n"/>
      <c r="D304" s="92" t="n"/>
      <c r="E304" s="93" t="n"/>
      <c r="F304" s="59" t="str">
        <f>IF(N(E304)&gt;0,60/E304,"")</f>
        <v/>
      </c>
      <c r="G304" s="58" t="str">
        <f>IF(A304="","",IF(COUNTIF($A$6:$A$305,A304)&gt;1,"Référence en double",IF(C304="","Poste manquant",IF(ISNA(MATCH(C304,po_code,0)),"Poste inconnu",IF(N(E304)&lt;=0,"Temps par pièce manquant","OK")))))</f>
        <v/>
      </c>
    </row>
    <row r="305">
      <c r="A305" s="53" t="n"/>
      <c r="B305" s="53" t="n"/>
      <c r="C305" s="57" t="n"/>
      <c r="D305" s="92" t="n"/>
      <c r="E305" s="93" t="n"/>
      <c r="F305" s="59" t="str">
        <f>IF(N(E305)&gt;0,60/E305,"")</f>
        <v/>
      </c>
      <c r="G305" s="58" t="str">
        <f>IF(A305="","",IF(COUNTIF($A$6:$A$305,A305)&gt;1,"Référence en double",IF(C305="","Poste manquant",IF(ISNA(MATCH(C305,po_code,0)),"Poste inconnu",IF(N(E305)&lt;=0,"Temps par pièce manquant","OK")))))</f>
        <v/>
      </c>
    </row>
  </sheetData>
  <conditionalFormatting sqref="G6:G305">
    <cfRule type="expression" priority="1" dxfId="2">
      <formula>$G6="OK"</formula>
    </cfRule>
    <cfRule type="expression" priority="2" dxfId="0">
      <formula>AND($G6&lt;&gt;"",$G6&lt;&gt;"OK")</formula>
    </cfRule>
  </conditionalFormatting>
  <dataValidations count="3">
    <dataValidation sqref="C6:C305" showDropDown="0" showInputMessage="1" showErrorMessage="1" allowBlank="1" errorTitle="Poste" error="Choisissez le poste dans la liste (feuille « Postes de travail »)." promptTitle="Poste" prompt="Choisissez le poste dans la liste (feuille « Postes de travail »)." type="list">
      <formula1>=po_code</formula1>
    </dataValidation>
    <dataValidation sqref="D6:D305" showDropDown="0" showInputMessage="1" showErrorMessage="1" allowBlank="1" errorTitle="Réglage" error="Temps de réglage en heures, compté une fois par OF (0 si aucun)." promptTitle="Réglage" prompt="Temps de réglage en heures, compté une fois par OF (0 si aucun)." type="decimal" operator="greaterThanOrEqual">
      <formula1>0</formula1>
    </dataValidation>
    <dataValidation sqref="E6:E305" showDropDown="0" showInputMessage="1" showErrorMessage="1" allowBlank="1" errorTitle="Temps par pièce" error="Temps de production d'une pièce en minutes (0,5 = 30 secondes)." promptTitle="Temps par pièce" prompt="Temps de production d'une pièce en minutes (0,5 = 30 secondes)." type="decimal" operator="greaterThanOrEqual">
      <formula1>0</formula1>
    </dataValidation>
  </dataValidations>
  <hyperlinks>
    <hyperlink ref="G1" location="'Mode d''emploi'!A1"/>
  </hyperlink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tabColor rgb="FF4D7C0F"/>
    <outlinePr summaryBelow="1" summaryRight="1"/>
    <pageSetUpPr fitToPage="1"/>
  </sheetPr>
  <dimension ref="A1:G2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3" customWidth="1" min="3" max="3"/>
    <col width="13" customWidth="1" min="4" max="4"/>
    <col width="15" customWidth="1" min="5" max="5"/>
    <col width="15" customWidth="1" min="6" max="6"/>
    <col width="24" customWidth="1" min="7" max="7"/>
  </cols>
  <sheetData>
    <row r="1" ht="38" customHeight="1">
      <c r="A1" s="2" t="inlineStr">
        <is>
          <t>Postes de travail</t>
        </is>
      </c>
      <c r="B1" s="1" t="n"/>
      <c r="C1" s="1" t="n"/>
      <c r="D1" s="1" t="n"/>
      <c r="E1" s="1" t="n"/>
      <c r="F1" s="1" t="n"/>
      <c r="G1" s="18" t="inlineStr">
        <is>
          <t>⌂ Mode d'emploi</t>
        </is>
      </c>
    </row>
    <row r="2" ht="22" customHeight="1">
      <c r="A2" s="4" t="inlineStr">
        <is>
          <t>Une ligne par machine, ligne ou équipe. La capacité par jour sert à calculer la durée des OF.</t>
        </is>
      </c>
      <c r="B2" s="3" t="n"/>
      <c r="C2" s="3" t="n"/>
      <c r="D2" s="3" t="n"/>
      <c r="E2" s="3" t="n"/>
      <c r="F2" s="3" t="n"/>
      <c r="G2" s="3" t="n"/>
    </row>
    <row r="3" ht="18" customHeight="1">
      <c r="F3" s="16" t="inlineStr">
        <is>
          <t>Saisie</t>
        </is>
      </c>
      <c r="G3" s="17" t="inlineStr">
        <is>
          <t>Calcul auto</t>
        </is>
      </c>
    </row>
    <row r="5" ht="34" customHeight="1">
      <c r="A5" s="42" t="inlineStr">
        <is>
          <t>Code</t>
        </is>
      </c>
      <c r="B5" s="42" t="inlineStr">
        <is>
          <t>Nom du poste</t>
        </is>
      </c>
      <c r="C5" s="42" t="inlineStr">
        <is>
          <t>Heures par jour</t>
        </is>
      </c>
      <c r="D5" s="42" t="inlineStr">
        <is>
          <t>Rendement</t>
        </is>
      </c>
      <c r="E5" s="42" t="inlineStr">
        <is>
          <t>Capacité (h/jour)</t>
        </is>
      </c>
      <c r="F5" s="42" t="inlineStr">
        <is>
          <t>Taux horaire</t>
        </is>
      </c>
      <c r="G5" s="42" t="inlineStr">
        <is>
          <t>Contrôle</t>
        </is>
      </c>
    </row>
    <row r="6">
      <c r="A6" s="57" t="inlineStr">
        <is>
          <t>SCIE</t>
        </is>
      </c>
      <c r="B6" s="53" t="inlineStr">
        <is>
          <t>Scie à ruban</t>
        </is>
      </c>
      <c r="C6" s="92" t="n">
        <v>8</v>
      </c>
      <c r="D6" s="94" t="n">
        <v>0.9</v>
      </c>
      <c r="E6" s="92">
        <f>IF(A6="","",ROUND(N(C6)*N(D6),4))</f>
        <v>7.2</v>
      </c>
      <c r="F6" s="64" t="n">
        <v>180</v>
      </c>
      <c r="G6" s="57" t="str">
        <f>IF(A6="","",IF(COUNTIF($A$6:$A$25,A6)&gt;1,"Code en double",IF(N(C6)&lt;=0,"Heures par jour manquantes",IF(OR(N(D6)&lt;=0,N(D6)&gt;1),"Rendement entre 1 et 100 %","OK"))))</f>
        <v>OK</v>
      </c>
    </row>
    <row r="7">
      <c r="A7" s="57" t="inlineStr">
        <is>
          <t>TOUR</t>
        </is>
      </c>
      <c r="B7" s="53" t="inlineStr">
        <is>
          <t>Tour CN</t>
        </is>
      </c>
      <c r="C7" s="92" t="n">
        <v>16</v>
      </c>
      <c r="D7" s="94" t="n">
        <v>0.85</v>
      </c>
      <c r="E7" s="92">
        <f>IF(A7="","",ROUND(N(C7)*N(D7),4))</f>
        <v>13.6</v>
      </c>
      <c r="F7" s="64" t="n">
        <v>320</v>
      </c>
      <c r="G7" s="57" t="str">
        <f>IF(A7="","",IF(COUNTIF($A$6:$A$25,A7)&gt;1,"Code en double",IF(N(C7)&lt;=0,"Heures par jour manquantes",IF(OR(N(D7)&lt;=0,N(D7)&gt;1),"Rendement entre 1 et 100 %","OK"))))</f>
        <v>OK</v>
      </c>
    </row>
    <row r="8">
      <c r="A8" s="57" t="inlineStr">
        <is>
          <t>FRAIS</t>
        </is>
      </c>
      <c r="B8" s="53" t="inlineStr">
        <is>
          <t>Centre d'usinage</t>
        </is>
      </c>
      <c r="C8" s="92" t="n">
        <v>16</v>
      </c>
      <c r="D8" s="94" t="n">
        <v>0.85</v>
      </c>
      <c r="E8" s="92">
        <f>IF(A8="","",ROUND(N(C8)*N(D8),4))</f>
        <v>13.6</v>
      </c>
      <c r="F8" s="64" t="n">
        <v>450</v>
      </c>
      <c r="G8" s="57" t="str">
        <f>IF(A8="","",IF(COUNTIF($A$6:$A$25,A8)&gt;1,"Code en double",IF(N(C8)&lt;=0,"Heures par jour manquantes",IF(OR(N(D8)&lt;=0,N(D8)&gt;1),"Rendement entre 1 et 100 %","OK"))))</f>
        <v>OK</v>
      </c>
    </row>
    <row r="9">
      <c r="A9" s="57" t="inlineStr">
        <is>
          <t>PLIE</t>
        </is>
      </c>
      <c r="B9" s="53" t="inlineStr">
        <is>
          <t>Plieuse</t>
        </is>
      </c>
      <c r="C9" s="92" t="n">
        <v>8</v>
      </c>
      <c r="D9" s="94" t="n">
        <v>0.9</v>
      </c>
      <c r="E9" s="92">
        <f>IF(A9="","",ROUND(N(C9)*N(D9),4))</f>
        <v>7.2</v>
      </c>
      <c r="F9" s="64" t="n">
        <v>220</v>
      </c>
      <c r="G9" s="57" t="str">
        <f>IF(A9="","",IF(COUNTIF($A$6:$A$25,A9)&gt;1,"Code en double",IF(N(C9)&lt;=0,"Heures par jour manquantes",IF(OR(N(D9)&lt;=0,N(D9)&gt;1),"Rendement entre 1 et 100 %","OK"))))</f>
        <v>OK</v>
      </c>
    </row>
    <row r="10">
      <c r="A10" s="57" t="inlineStr">
        <is>
          <t>SOUD</t>
        </is>
      </c>
      <c r="B10" s="53" t="inlineStr">
        <is>
          <t>Soudure</t>
        </is>
      </c>
      <c r="C10" s="92" t="n">
        <v>8</v>
      </c>
      <c r="D10" s="94" t="n">
        <v>0.9</v>
      </c>
      <c r="E10" s="92">
        <f>IF(A10="","",ROUND(N(C10)*N(D10),4))</f>
        <v>7.2</v>
      </c>
      <c r="F10" s="64" t="n">
        <v>260</v>
      </c>
      <c r="G10" s="57" t="str">
        <f>IF(A10="","",IF(COUNTIF($A$6:$A$25,A10)&gt;1,"Code en double",IF(N(C10)&lt;=0,"Heures par jour manquantes",IF(OR(N(D10)&lt;=0,N(D10)&gt;1),"Rendement entre 1 et 100 %","OK"))))</f>
        <v>OK</v>
      </c>
    </row>
    <row r="11">
      <c r="A11" s="57" t="inlineStr">
        <is>
          <t>PEINT</t>
        </is>
      </c>
      <c r="B11" s="53" t="inlineStr">
        <is>
          <t>Cabine de peinture</t>
        </is>
      </c>
      <c r="C11" s="92" t="n">
        <v>8</v>
      </c>
      <c r="D11" s="94" t="n">
        <v>0.95</v>
      </c>
      <c r="E11" s="92">
        <f>IF(A11="","",ROUND(N(C11)*N(D11),4))</f>
        <v>7.6</v>
      </c>
      <c r="F11" s="64" t="n">
        <v>200</v>
      </c>
      <c r="G11" s="57" t="str">
        <f>IF(A11="","",IF(COUNTIF($A$6:$A$25,A11)&gt;1,"Code en double",IF(N(C11)&lt;=0,"Heures par jour manquantes",IF(OR(N(D11)&lt;=0,N(D11)&gt;1),"Rendement entre 1 et 100 %","OK"))))</f>
        <v>OK</v>
      </c>
    </row>
    <row r="12">
      <c r="A12" s="57" t="inlineStr">
        <is>
          <t>MONT</t>
        </is>
      </c>
      <c r="B12" s="53" t="inlineStr">
        <is>
          <t>Montage</t>
        </is>
      </c>
      <c r="C12" s="92" t="n">
        <v>8</v>
      </c>
      <c r="D12" s="94" t="n">
        <v>0.95</v>
      </c>
      <c r="E12" s="92">
        <f>IF(A12="","",ROUND(N(C12)*N(D12),4))</f>
        <v>7.6</v>
      </c>
      <c r="F12" s="64" t="n">
        <v>150</v>
      </c>
      <c r="G12" s="57" t="str">
        <f>IF(A12="","",IF(COUNTIF($A$6:$A$25,A12)&gt;1,"Code en double",IF(N(C12)&lt;=0,"Heures par jour manquantes",IF(OR(N(D12)&lt;=0,N(D12)&gt;1),"Rendement entre 1 et 100 %","OK"))))</f>
        <v>OK</v>
      </c>
    </row>
    <row r="13">
      <c r="A13" s="57" t="n"/>
      <c r="B13" s="53" t="n"/>
      <c r="C13" s="92" t="n"/>
      <c r="D13" s="94" t="n"/>
      <c r="E13" s="92" t="str">
        <f>IF(A13="","",ROUND(N(C13)*N(D13),4))</f>
        <v/>
      </c>
      <c r="F13" s="64" t="n"/>
      <c r="G13" s="57" t="str">
        <f>IF(A13="","",IF(COUNTIF($A$6:$A$25,A13)&gt;1,"Code en double",IF(N(C13)&lt;=0,"Heures par jour manquantes",IF(OR(N(D13)&lt;=0,N(D13)&gt;1),"Rendement entre 1 et 100 %","OK"))))</f>
        <v/>
      </c>
    </row>
    <row r="14">
      <c r="A14" s="57" t="n"/>
      <c r="B14" s="53" t="n"/>
      <c r="C14" s="92" t="n"/>
      <c r="D14" s="94" t="n"/>
      <c r="E14" s="92" t="str">
        <f>IF(A14="","",ROUND(N(C14)*N(D14),4))</f>
        <v/>
      </c>
      <c r="F14" s="64" t="n"/>
      <c r="G14" s="57" t="str">
        <f>IF(A14="","",IF(COUNTIF($A$6:$A$25,A14)&gt;1,"Code en double",IF(N(C14)&lt;=0,"Heures par jour manquantes",IF(OR(N(D14)&lt;=0,N(D14)&gt;1),"Rendement entre 1 et 100 %","OK"))))</f>
        <v/>
      </c>
    </row>
    <row r="15">
      <c r="A15" s="57" t="n"/>
      <c r="B15" s="53" t="n"/>
      <c r="C15" s="92" t="n"/>
      <c r="D15" s="94" t="n"/>
      <c r="E15" s="92" t="str">
        <f>IF(A15="","",ROUND(N(C15)*N(D15),4))</f>
        <v/>
      </c>
      <c r="F15" s="64" t="n"/>
      <c r="G15" s="57" t="str">
        <f>IF(A15="","",IF(COUNTIF($A$6:$A$25,A15)&gt;1,"Code en double",IF(N(C15)&lt;=0,"Heures par jour manquantes",IF(OR(N(D15)&lt;=0,N(D15)&gt;1),"Rendement entre 1 et 100 %","OK"))))</f>
        <v/>
      </c>
    </row>
    <row r="16">
      <c r="A16" s="57" t="n"/>
      <c r="B16" s="53" t="n"/>
      <c r="C16" s="92" t="n"/>
      <c r="D16" s="94" t="n"/>
      <c r="E16" s="92" t="str">
        <f>IF(A16="","",ROUND(N(C16)*N(D16),4))</f>
        <v/>
      </c>
      <c r="F16" s="64" t="n"/>
      <c r="G16" s="57" t="str">
        <f>IF(A16="","",IF(COUNTIF($A$6:$A$25,A16)&gt;1,"Code en double",IF(N(C16)&lt;=0,"Heures par jour manquantes",IF(OR(N(D16)&lt;=0,N(D16)&gt;1),"Rendement entre 1 et 100 %","OK"))))</f>
        <v/>
      </c>
    </row>
    <row r="17">
      <c r="A17" s="57" t="n"/>
      <c r="B17" s="53" t="n"/>
      <c r="C17" s="92" t="n"/>
      <c r="D17" s="94" t="n"/>
      <c r="E17" s="92" t="str">
        <f>IF(A17="","",ROUND(N(C17)*N(D17),4))</f>
        <v/>
      </c>
      <c r="F17" s="64" t="n"/>
      <c r="G17" s="57" t="str">
        <f>IF(A17="","",IF(COUNTIF($A$6:$A$25,A17)&gt;1,"Code en double",IF(N(C17)&lt;=0,"Heures par jour manquantes",IF(OR(N(D17)&lt;=0,N(D17)&gt;1),"Rendement entre 1 et 100 %","OK"))))</f>
        <v/>
      </c>
    </row>
    <row r="18">
      <c r="A18" s="57" t="n"/>
      <c r="B18" s="53" t="n"/>
      <c r="C18" s="92" t="n"/>
      <c r="D18" s="94" t="n"/>
      <c r="E18" s="92" t="str">
        <f>IF(A18="","",ROUND(N(C18)*N(D18),4))</f>
        <v/>
      </c>
      <c r="F18" s="64" t="n"/>
      <c r="G18" s="57" t="str">
        <f>IF(A18="","",IF(COUNTIF($A$6:$A$25,A18)&gt;1,"Code en double",IF(N(C18)&lt;=0,"Heures par jour manquantes",IF(OR(N(D18)&lt;=0,N(D18)&gt;1),"Rendement entre 1 et 100 %","OK"))))</f>
        <v/>
      </c>
    </row>
    <row r="19">
      <c r="A19" s="57" t="n"/>
      <c r="B19" s="53" t="n"/>
      <c r="C19" s="92" t="n"/>
      <c r="D19" s="94" t="n"/>
      <c r="E19" s="92" t="str">
        <f>IF(A19="","",ROUND(N(C19)*N(D19),4))</f>
        <v/>
      </c>
      <c r="F19" s="64" t="n"/>
      <c r="G19" s="57" t="str">
        <f>IF(A19="","",IF(COUNTIF($A$6:$A$25,A19)&gt;1,"Code en double",IF(N(C19)&lt;=0,"Heures par jour manquantes",IF(OR(N(D19)&lt;=0,N(D19)&gt;1),"Rendement entre 1 et 100 %","OK"))))</f>
        <v/>
      </c>
    </row>
    <row r="20">
      <c r="A20" s="57" t="n"/>
      <c r="B20" s="53" t="n"/>
      <c r="C20" s="92" t="n"/>
      <c r="D20" s="94" t="n"/>
      <c r="E20" s="92" t="str">
        <f>IF(A20="","",ROUND(N(C20)*N(D20),4))</f>
        <v/>
      </c>
      <c r="F20" s="64" t="n"/>
      <c r="G20" s="57" t="str">
        <f>IF(A20="","",IF(COUNTIF($A$6:$A$25,A20)&gt;1,"Code en double",IF(N(C20)&lt;=0,"Heures par jour manquantes",IF(OR(N(D20)&lt;=0,N(D20)&gt;1),"Rendement entre 1 et 100 %","OK"))))</f>
        <v/>
      </c>
    </row>
    <row r="21">
      <c r="A21" s="57" t="n"/>
      <c r="B21" s="53" t="n"/>
      <c r="C21" s="92" t="n"/>
      <c r="D21" s="94" t="n"/>
      <c r="E21" s="92" t="str">
        <f>IF(A21="","",ROUND(N(C21)*N(D21),4))</f>
        <v/>
      </c>
      <c r="F21" s="64" t="n"/>
      <c r="G21" s="57" t="str">
        <f>IF(A21="","",IF(COUNTIF($A$6:$A$25,A21)&gt;1,"Code en double",IF(N(C21)&lt;=0,"Heures par jour manquantes",IF(OR(N(D21)&lt;=0,N(D21)&gt;1),"Rendement entre 1 et 100 %","OK"))))</f>
        <v/>
      </c>
    </row>
    <row r="22">
      <c r="A22" s="57" t="n"/>
      <c r="B22" s="53" t="n"/>
      <c r="C22" s="92" t="n"/>
      <c r="D22" s="94" t="n"/>
      <c r="E22" s="92" t="str">
        <f>IF(A22="","",ROUND(N(C22)*N(D22),4))</f>
        <v/>
      </c>
      <c r="F22" s="64" t="n"/>
      <c r="G22" s="57" t="str">
        <f>IF(A22="","",IF(COUNTIF($A$6:$A$25,A22)&gt;1,"Code en double",IF(N(C22)&lt;=0,"Heures par jour manquantes",IF(OR(N(D22)&lt;=0,N(D22)&gt;1),"Rendement entre 1 et 100 %","OK"))))</f>
        <v/>
      </c>
    </row>
    <row r="23">
      <c r="A23" s="57" t="n"/>
      <c r="B23" s="53" t="n"/>
      <c r="C23" s="92" t="n"/>
      <c r="D23" s="94" t="n"/>
      <c r="E23" s="92" t="str">
        <f>IF(A23="","",ROUND(N(C23)*N(D23),4))</f>
        <v/>
      </c>
      <c r="F23" s="64" t="n"/>
      <c r="G23" s="57" t="str">
        <f>IF(A23="","",IF(COUNTIF($A$6:$A$25,A23)&gt;1,"Code en double",IF(N(C23)&lt;=0,"Heures par jour manquantes",IF(OR(N(D23)&lt;=0,N(D23)&gt;1),"Rendement entre 1 et 100 %","OK"))))</f>
        <v/>
      </c>
    </row>
    <row r="24">
      <c r="A24" s="57" t="n"/>
      <c r="B24" s="53" t="n"/>
      <c r="C24" s="92" t="n"/>
      <c r="D24" s="94" t="n"/>
      <c r="E24" s="92" t="str">
        <f>IF(A24="","",ROUND(N(C24)*N(D24),4))</f>
        <v/>
      </c>
      <c r="F24" s="64" t="n"/>
      <c r="G24" s="57" t="str">
        <f>IF(A24="","",IF(COUNTIF($A$6:$A$25,A24)&gt;1,"Code en double",IF(N(C24)&lt;=0,"Heures par jour manquantes",IF(OR(N(D24)&lt;=0,N(D24)&gt;1),"Rendement entre 1 et 100 %","OK"))))</f>
        <v/>
      </c>
    </row>
    <row r="25">
      <c r="A25" s="57" t="n"/>
      <c r="B25" s="53" t="n"/>
      <c r="C25" s="92" t="n"/>
      <c r="D25" s="94" t="n"/>
      <c r="E25" s="92" t="str">
        <f>IF(A25="","",ROUND(N(C25)*N(D25),4))</f>
        <v/>
      </c>
      <c r="F25" s="64" t="n"/>
      <c r="G25" s="57" t="str">
        <f>IF(A25="","",IF(COUNTIF($A$6:$A$25,A25)&gt;1,"Code en double",IF(N(C25)&lt;=0,"Heures par jour manquantes",IF(OR(N(D25)&lt;=0,N(D25)&gt;1),"Rendement entre 1 et 100 %","OK"))))</f>
        <v/>
      </c>
    </row>
  </sheetData>
  <conditionalFormatting sqref="G6:G25">
    <cfRule type="expression" priority="1" dxfId="2">
      <formula>$G6="OK"</formula>
    </cfRule>
    <cfRule type="expression" priority="2" dxfId="0">
      <formula>AND($G6&lt;&gt;"",$G6&lt;&gt;"OK")</formula>
    </cfRule>
  </conditionalFormatting>
  <conditionalFormatting sqref="F6:F25">
    <cfRule type="expression" priority="3" dxfId="6">
      <formula>p_currency="MAD"</formula>
    </cfRule>
    <cfRule type="expression" priority="4" dxfId="7">
      <formula>p_currency="EUR"</formula>
    </cfRule>
    <cfRule type="expression" priority="5" dxfId="8">
      <formula>p_currency="USD"</formula>
    </cfRule>
  </conditionalFormatting>
  <dataValidations count="3">
    <dataValidation sqref="C6:C25" showDropDown="0" showInputMessage="1" showErrorMessage="1" allowBlank="1" errorTitle="Heures par jour" error="Heures d'ouverture du poste par jour travaillé, entre 0 et 24 (16 pour deux équipes de 8 heures)." promptTitle="Heures par jour" prompt="Heures d'ouverture du poste par jour travaillé, entre 0 et 24 (16 pour deux équipes de 8 heures)." type="decimal" operator="between">
      <formula1>0</formula1>
      <formula2>24</formula2>
    </dataValidation>
    <dataValidation sqref="D6:D25" showDropDown="0" showInputMessage="1" showErrorMessage="1" allowBlank="1" errorTitle="Rendement" error="Part du temps ouvert vraiment productive, entre 1 % et 100 %. Sans mesure, comptez 85 %." promptTitle="Rendement" prompt="Part du temps ouvert vraiment productive, entre 1 % et 100 %. Sans mesure, comptez 85 %." type="decimal" operator="between">
      <formula1>0.01</formula1>
      <formula2>1</formula2>
    </dataValidation>
    <dataValidation sqref="F6:F25" showDropDown="0" showInputMessage="1" showErrorMessage="1" allowBlank="1" errorTitle="Taux horaire" error="Coût d'une heure de ce poste (machine + opérateur), hors matière." promptTitle="Taux horaire" prompt="Coût d'une heure de ce poste (machine + opérateur), hors matière." type="decimal" operator="greaterThanOrEqual">
      <formula1>0</formula1>
    </dataValidation>
  </dataValidations>
  <hyperlinks>
    <hyperlink ref="G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E45"/>
  <sheetViews>
    <sheetView showGridLines="0" tabSelected="0" zoomScale="100" workbookViewId="0">
      <selection activeCell="A1" sqref="A1"/>
    </sheetView>
  </sheetViews>
  <sheetFormatPr baseColWidth="8" defaultRowHeight="15"/>
  <cols>
    <col width="34" customWidth="1" min="1" max="1"/>
    <col width="22" customWidth="1" min="2" max="2"/>
    <col width="4" customWidth="1" min="3" max="3"/>
    <col width="16" customWidth="1" min="4" max="4"/>
    <col width="34" customWidth="1" min="5" max="5"/>
  </cols>
  <sheetData>
    <row r="1" ht="38" customHeight="1">
      <c r="A1" s="2" t="inlineStr">
        <is>
          <t>Paramètres</t>
        </is>
      </c>
      <c r="B1" s="1" t="n"/>
      <c r="C1" s="1" t="n"/>
      <c r="D1" s="1" t="n"/>
      <c r="E1" s="18" t="inlineStr">
        <is>
          <t>⌂ Mode d'emploi</t>
        </is>
      </c>
    </row>
    <row r="2" ht="22" customHeight="1">
      <c r="A2" s="4" t="inlineStr">
        <is>
          <t>Réglages du planning. Les cellules blanches sont à remplir.</t>
        </is>
      </c>
      <c r="B2" s="3" t="n"/>
      <c r="C2" s="3" t="n"/>
      <c r="D2" s="3" t="n"/>
      <c r="E2" s="3" t="n"/>
    </row>
    <row r="3" ht="18" customHeight="1"/>
    <row r="4">
      <c r="A4" s="5" t="inlineStr">
        <is>
          <t>Votre atelier</t>
        </is>
      </c>
      <c r="B4" s="6" t="n"/>
    </row>
    <row r="5" ht="34" customHeight="1">
      <c r="A5" s="95" t="inlineStr">
        <is>
          <t>Nom de l'entreprise</t>
        </is>
      </c>
      <c r="B5" s="96" t="inlineStr">
        <is>
          <t>Atelier Exemple</t>
        </is>
      </c>
      <c r="D5" s="42" t="inlineStr">
        <is>
          <t>Jours fériés</t>
        </is>
      </c>
    </row>
    <row r="6">
      <c r="A6" s="95" t="inlineStr">
        <is>
          <t>Devise</t>
        </is>
      </c>
      <c r="B6" s="97" t="inlineStr">
        <is>
          <t>MAD</t>
        </is>
      </c>
      <c r="D6" s="98" t="n">
        <v>46332</v>
      </c>
      <c r="E6" s="99" t="inlineStr">
        <is>
          <t>Un jour par ligne. Exemples au Maroc : 06/11 Marche verte, 18/11 Fête de l'indépendance. En France : 11/11, 25/12. Ajoutez aussi vos fermetures (pont, inventaire, congés d'été).</t>
        </is>
      </c>
    </row>
    <row r="7">
      <c r="A7" s="95" t="inlineStr">
        <is>
          <t>Date de début du planning</t>
        </is>
      </c>
      <c r="B7" s="98" t="n">
        <v>46328</v>
      </c>
      <c r="D7" s="98" t="n">
        <v>46344</v>
      </c>
    </row>
    <row r="8">
      <c r="A8" s="95" t="inlineStr">
        <is>
          <t>Jours travaillés</t>
        </is>
      </c>
      <c r="B8" s="96" t="inlineStr">
        <is>
          <t>Lundi au vendredi</t>
        </is>
      </c>
      <c r="D8" s="98" t="n">
        <v>46388</v>
      </c>
    </row>
    <row r="9">
      <c r="A9" s="95" t="inlineStr">
        <is>
          <t>Marge d'alerte (jours)</t>
        </is>
      </c>
      <c r="B9" s="96" t="n">
        <v>2</v>
      </c>
      <c r="D9" s="98" t="n">
        <v>46398</v>
      </c>
    </row>
    <row r="10">
      <c r="A10" s="95" t="inlineStr">
        <is>
          <t>Premier jour du Gantt</t>
        </is>
      </c>
      <c r="B10" s="98" t="n">
        <v>46328</v>
      </c>
      <c r="D10" s="98" t="n">
        <v>46401</v>
      </c>
    </row>
    <row r="11">
      <c r="D11" s="98" t="n"/>
    </row>
    <row r="12">
      <c r="A12" s="5" t="inlineStr">
        <is>
          <t>Valeurs utilisées par les formules</t>
        </is>
      </c>
      <c r="B12" s="6" t="n"/>
      <c r="D12" s="98" t="n"/>
      <c r="E12" s="99" t="inlineStr">
        <is>
          <t>Date de début vide : le planning part d'aujourd'hui. Code 1 = samedi et dimanche non travaillés, 11 = dimanche seul.</t>
        </is>
      </c>
    </row>
    <row r="13">
      <c r="A13" s="100" t="inlineStr">
        <is>
          <t>Début du planning retenu</t>
        </is>
      </c>
      <c r="B13" s="101">
        <f>IF(N(p_start_in)&gt;0,p_start_in,TODAY())</f>
        <v>46328.0</v>
      </c>
      <c r="D13" s="98" t="n"/>
    </row>
    <row r="14">
      <c r="A14" s="100" t="inlineStr">
        <is>
          <t>Code des jours non travaillés</t>
        </is>
      </c>
      <c r="B14" s="102">
        <f>IF(p_days="Lundi au samedi",11,1)</f>
        <v>1.0</v>
      </c>
      <c r="D14" s="98" t="n"/>
    </row>
    <row r="15">
      <c r="A15" s="100" t="inlineStr">
        <is>
          <t>Lundi de la première semaine</t>
        </is>
      </c>
      <c r="B15" s="101">
        <f>p_start-WEEKDAY(p_start,3)</f>
        <v>46328.0</v>
      </c>
      <c r="D15" s="98" t="n"/>
    </row>
    <row r="16">
      <c r="A16" s="100" t="inlineStr">
        <is>
          <t>Premier jour du Gantt retenu</t>
        </is>
      </c>
      <c r="B16" s="101">
        <f>IF(N(p_gantt_in)&gt;0,p_gantt_in,p_start)</f>
        <v>46328.0</v>
      </c>
      <c r="D16" s="98" t="n"/>
    </row>
    <row r="17">
      <c r="D17" s="98" t="n"/>
    </row>
    <row r="18">
      <c r="D18" s="98" t="n"/>
    </row>
    <row r="19">
      <c r="D19" s="98" t="n"/>
    </row>
    <row r="20">
      <c r="D20" s="98" t="n"/>
    </row>
    <row r="21">
      <c r="D21" s="98" t="n"/>
    </row>
    <row r="22">
      <c r="D22" s="98" t="n"/>
    </row>
    <row r="23">
      <c r="D23" s="98" t="n"/>
    </row>
    <row r="24">
      <c r="D24" s="98" t="n"/>
    </row>
    <row r="25">
      <c r="D25" s="98" t="n"/>
    </row>
    <row r="26">
      <c r="D26" s="98" t="n"/>
    </row>
    <row r="27">
      <c r="D27" s="98" t="n"/>
    </row>
    <row r="28">
      <c r="D28" s="98" t="n"/>
    </row>
    <row r="29">
      <c r="D29" s="98" t="n"/>
    </row>
    <row r="30">
      <c r="D30" s="98" t="n"/>
    </row>
    <row r="31">
      <c r="D31" s="98" t="n"/>
    </row>
    <row r="32">
      <c r="D32" s="98" t="n"/>
    </row>
    <row r="33">
      <c r="D33" s="98" t="n"/>
    </row>
    <row r="34">
      <c r="D34" s="98" t="n"/>
    </row>
    <row r="35">
      <c r="D35" s="98" t="n"/>
    </row>
    <row r="36">
      <c r="D36" s="98" t="n"/>
    </row>
    <row r="37">
      <c r="D37" s="98" t="n"/>
    </row>
    <row r="38">
      <c r="D38" s="98" t="n"/>
    </row>
    <row r="39">
      <c r="D39" s="98" t="n"/>
    </row>
    <row r="40">
      <c r="D40" s="98" t="n"/>
    </row>
    <row r="41">
      <c r="D41" s="98" t="n"/>
    </row>
    <row r="42">
      <c r="D42" s="98" t="n"/>
    </row>
    <row r="43">
      <c r="D43" s="98" t="n"/>
    </row>
    <row r="44">
      <c r="D44" s="98" t="n"/>
    </row>
    <row r="45">
      <c r="D45" s="98" t="n"/>
    </row>
  </sheetData>
  <mergeCells count="2">
    <mergeCell ref="E12:E16"/>
    <mergeCell ref="E6:E10"/>
  </mergeCells>
  <dataValidations count="6">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7" showDropDown="0" showInputMessage="1" showErrorMessage="1" allowBlank="1" errorTitle="Date" error="Saisissez une date au format jj/mm/aaaa." promptTitle="Date" prompt="Saisissez une date au format jj/mm/aaaa." type="date" operator="between">
      <formula1>36526</formula1>
      <formula2>73051</formula2>
    </dataValidation>
    <dataValidation sqref="B10" showDropDown="0" showInputMessage="1" showErrorMessage="1" allowBlank="1" errorTitle="Date" error="Saisissez une date au format jj/mm/aaaa." promptTitle="Date" prompt="Saisissez une date au format jj/mm/aaaa." type="date" operator="between">
      <formula1>36526</formula1>
      <formula2>73051</formula2>
    </dataValidation>
    <dataValidation sqref="B8" showDropDown="0" showInputMessage="1" showErrorMessage="1" allowBlank="1" errorTitle="Jours travaillés" error="Choisissez les jours où l'atelier produit." promptTitle="Jours travaillés" prompt="Choisissez les jours où l'atelier produit." type="list">
      <formula1>"Lundi au vendredi,Lundi au samedi"</formula1>
    </dataValidation>
    <dataValidation sqref="B9" showDropDown="0" showInputMessage="1" showErrorMessage="1" allowBlank="1" errorTitle="Marge d'alerte" error="Nombre de jours entre la fin prévue et la date de besoin en dessous duquel un OF passe en « Juste »." promptTitle="Marge d'alerte" prompt="Nombre de jours entre la fin prévue et la date de besoin en dessous duquel un OF passe en « Juste »." type="whole" operator="between">
      <formula1>0</formula1>
      <formula2>60</formula2>
    </dataValidation>
    <dataValidation sqref="D6:D45" showDropDown="0" showInputMessage="1" showErrorMessage="1" allowBlank="1" errorTitle="Jour férié" error="Saisissez une date au format jj/mm/aaaa." promptTitle="Jour férié" prompt="Saisissez une date au format jj/mm/aaaa." type="date" operator="between">
      <formula1>36526</formula1>
      <formula2>73051</formula2>
    </dataValidation>
  </dataValidations>
  <hyperlinks>
    <hyperlink ref="E1" location="'Mode d''emploi'!A1"/>
  </hyperlinks>
  <printOptions horizontalCentered="1"/>
  <pageMargins left="0.4" right="0.4" top="0.5" bottom="0.5" header="0.5" footer="0.5"/>
  <pageSetup orientation="portrait"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03" t="n"/>
      <c r="B1" s="103" t="n"/>
      <c r="C1" s="103" t="n"/>
      <c r="D1" s="103" t="n"/>
      <c r="E1" s="103" t="n"/>
      <c r="F1" s="103" t="n"/>
    </row>
    <row r="2" ht="34" customHeight="1">
      <c r="A2" s="103" t="n"/>
      <c r="B2" s="104" t="inlineStr">
        <is>
          <t>Qualis ERP</t>
        </is>
      </c>
      <c r="C2" s="105" t="n"/>
      <c r="D2" s="105" t="n"/>
      <c r="E2" s="105" t="n"/>
      <c r="F2" s="103" t="n"/>
    </row>
    <row r="3">
      <c r="A3" s="103" t="n"/>
      <c r="B3" s="106" t="inlineStr">
        <is>
          <t>Le planning de production relié au stock, aux achats et aux ventes.</t>
        </is>
      </c>
      <c r="F3" s="103" t="n"/>
    </row>
    <row r="4" ht="46" customHeight="1">
      <c r="A4" s="103" t="n"/>
      <c r="B4" s="107" t="inlineStr">
        <is>
          <t>Ce fichier calcule un vrai planning à capacité finie : il suffit à beaucoup d'ateliers. Voici ce qu'il ne peut pas faire, ce que Qualis ERP fait à la place, et ce que vous payez, ou pas.</t>
        </is>
      </c>
      <c r="F4" s="103" t="n"/>
    </row>
    <row r="5">
      <c r="A5" s="103" t="n"/>
      <c r="B5" s="103" t="n"/>
      <c r="C5" s="103" t="n"/>
      <c r="D5" s="103" t="n"/>
      <c r="E5" s="103" t="n"/>
      <c r="F5" s="103" t="n"/>
    </row>
    <row r="6" ht="22" customHeight="1">
      <c r="A6" s="103" t="n"/>
      <c r="B6" s="108" t="inlineStr">
        <is>
          <t>Ce que ce fichier fait bien</t>
        </is>
      </c>
      <c r="C6" s="109" t="n"/>
      <c r="D6" s="109" t="n"/>
      <c r="E6" s="109" t="n"/>
      <c r="F6" s="103" t="n"/>
    </row>
    <row r="7" ht="18" customHeight="1">
      <c r="A7" s="103" t="n"/>
      <c r="B7" s="110" t="inlineStr">
        <is>
          <t>✓  Il enchaîne les OF poste par poste, à capacité finie, en sautant week-ends et jours fériés.</t>
        </is>
      </c>
      <c r="F7" s="103" t="n"/>
    </row>
    <row r="8" ht="18" customHeight="1">
      <c r="A8" s="103" t="n"/>
      <c r="B8" s="110" t="inlineStr">
        <is>
          <t>✓  Il montre la surcharge semaine par semaine, avant qu'elle ne devienne un retard client.</t>
        </is>
      </c>
      <c r="F8" s="103" t="n"/>
    </row>
    <row r="9" ht="18" customHeight="1">
      <c r="A9" s="103" t="n"/>
      <c r="B9" s="110" t="inlineStr">
        <is>
          <t>✓  Il est gratuit, sans macro, et se lit sur n'importe quel ordinateur.</t>
        </is>
      </c>
      <c r="F9" s="103" t="n"/>
    </row>
    <row r="10">
      <c r="A10" s="103" t="n"/>
      <c r="B10" s="103" t="n"/>
      <c r="C10" s="103" t="n"/>
      <c r="D10" s="103" t="n"/>
      <c r="E10" s="103" t="n"/>
      <c r="F10" s="103" t="n"/>
    </row>
    <row r="11" ht="22" customHeight="1">
      <c r="A11" s="103" t="n"/>
      <c r="B11" s="108" t="inlineStr">
        <is>
          <t>Là où un tableur atteint ses limites</t>
        </is>
      </c>
      <c r="C11" s="109" t="n"/>
      <c r="D11" s="109" t="n"/>
      <c r="E11" s="109" t="n"/>
      <c r="F11" s="103" t="n"/>
    </row>
    <row r="12" ht="18" customHeight="1">
      <c r="A12" s="103" t="n"/>
      <c r="B12" s="111" t="inlineStr">
        <is>
          <t>•  Il ne sait pas si la matière est en stock : un OF peut être planifié alors qu'il manque une pièce.</t>
        </is>
      </c>
      <c r="F12" s="103" t="n"/>
    </row>
    <row r="13" ht="18" customHeight="1">
      <c r="A13" s="103" t="n"/>
      <c r="B13" s="111" t="inlineStr">
        <is>
          <t>•  Une pièce qui passe par plusieurs postes demande un OF par étape, enchaînés à la main.</t>
        </is>
      </c>
      <c r="F13" s="103" t="n"/>
    </row>
    <row r="14" ht="30" customHeight="1">
      <c r="A14" s="103" t="n"/>
      <c r="B14" s="111" t="inlineStr">
        <is>
          <t>•  L'atelier ne déclare pas ses quantités dans le fichier pendant que le bureau le modifie : une seule personne à la fois.</t>
        </is>
      </c>
      <c r="F14" s="103" t="n"/>
    </row>
    <row r="15" ht="18" customHeight="1">
      <c r="A15" s="103" t="n"/>
      <c r="B15" s="111" t="inlineStr">
        <is>
          <t>•  Aucune trace de qui a déplacé un OF, ni de la date promise au départ au client.</t>
        </is>
      </c>
      <c r="F15" s="103" t="n"/>
    </row>
    <row r="16">
      <c r="A16" s="103" t="n"/>
      <c r="B16" s="103" t="n"/>
      <c r="C16" s="103" t="n"/>
      <c r="D16" s="103" t="n"/>
      <c r="E16" s="103" t="n"/>
      <c r="F16" s="103" t="n"/>
    </row>
    <row r="17" ht="22" customHeight="1">
      <c r="A17" s="103" t="n"/>
      <c r="B17" s="108" t="inlineStr">
        <is>
          <t>Ce fichier et Qualis ERP, côte à côte</t>
        </is>
      </c>
      <c r="C17" s="109" t="n"/>
      <c r="D17" s="109" t="n"/>
      <c r="E17" s="109" t="n"/>
      <c r="F17" s="103" t="n"/>
    </row>
    <row r="18" ht="22" customHeight="1">
      <c r="A18" s="103" t="n"/>
      <c r="B18" s="112" t="inlineStr"/>
      <c r="C18" s="113" t="inlineStr">
        <is>
          <t>Ce fichier Excel</t>
        </is>
      </c>
      <c r="D18" s="114" t="inlineStr">
        <is>
          <t>Qualis ERP</t>
        </is>
      </c>
      <c r="E18" s="114" t="inlineStr">
        <is>
          <t>Offre</t>
        </is>
      </c>
      <c r="F18" s="103" t="n"/>
    </row>
    <row r="19" ht="32" customHeight="1">
      <c r="A19" s="103" t="n"/>
      <c r="B19" s="115" t="inlineStr">
        <is>
          <t>Calcul du planning</t>
        </is>
      </c>
      <c r="C19" s="116" t="inlineStr">
        <is>
          <t>OF enchaînés par poste, une opération par article</t>
        </is>
      </c>
      <c r="D19" s="117" t="inlineStr">
        <is>
          <t>Gammes multi-opérations, OF lancés depuis la commande client</t>
        </is>
      </c>
      <c r="E19" s="118" t="inlineStr">
        <is>
          <t>Complete</t>
        </is>
      </c>
      <c r="F19" s="103" t="n"/>
    </row>
    <row r="20" ht="32" customHeight="1">
      <c r="A20" s="103" t="n"/>
      <c r="B20" s="115" t="inlineStr">
        <is>
          <t>Matière</t>
        </is>
      </c>
      <c r="C20" s="116" t="inlineStr">
        <is>
          <t>Non vérifiée</t>
        </is>
      </c>
      <c r="D20" s="117" t="inlineStr">
        <is>
          <t>Liste des manquants avant lancement, réservation du stock</t>
        </is>
      </c>
      <c r="E20" s="118" t="inlineStr">
        <is>
          <t>Complete</t>
        </is>
      </c>
      <c r="F20" s="103" t="n"/>
    </row>
    <row r="21" ht="32" customHeight="1">
      <c r="A21" s="103" t="n"/>
      <c r="B21" s="115" t="inlineStr">
        <is>
          <t>Saisie atelier</t>
        </is>
      </c>
      <c r="C21" s="116" t="inlineStr">
        <is>
          <t>Une personne à la fois</t>
        </is>
      </c>
      <c r="D21" s="117" t="inlineStr">
        <is>
          <t>Chaque opérateur déclare ses quantités, ses rebuts et ses temps</t>
        </is>
      </c>
      <c r="E21" s="118" t="inlineStr">
        <is>
          <t>Complete</t>
        </is>
      </c>
      <c r="F21" s="103" t="n"/>
    </row>
    <row r="22" ht="32" customHeight="1">
      <c r="A22" s="103" t="n"/>
      <c r="B22" s="115" t="inlineStr">
        <is>
          <t>Stock</t>
        </is>
      </c>
      <c r="C22" s="116" t="inlineStr">
        <is>
          <t>Non relié</t>
        </is>
      </c>
      <c r="D22" s="117" t="inlineStr">
        <is>
          <t>Entrées et sorties à chaque déclaration, lots et numéros de série</t>
        </is>
      </c>
      <c r="E22" s="119" t="inlineStr">
        <is>
          <t>Start (gratuit)</t>
        </is>
      </c>
      <c r="F22" s="103" t="n"/>
    </row>
    <row r="23" ht="32" customHeight="1">
      <c r="A23" s="103" t="n"/>
      <c r="B23" s="115" t="inlineStr">
        <is>
          <t>Articles, clients, fournisseurs</t>
        </is>
      </c>
      <c r="C23" s="116" t="inlineStr">
        <is>
          <t>Listes dans le fichier</t>
        </is>
      </c>
      <c r="D23" s="117" t="inlineStr">
        <is>
          <t>Fiches partagées par toute l'équipe</t>
        </is>
      </c>
      <c r="E23" s="119" t="inlineStr">
        <is>
          <t>Start (gratuit)</t>
        </is>
      </c>
      <c r="F23" s="103" t="n"/>
    </row>
    <row r="24" ht="32" customHeight="1">
      <c r="A24" s="103" t="n"/>
      <c r="B24" s="115" t="inlineStr">
        <is>
          <t>Historique</t>
        </is>
      </c>
      <c r="C24" s="116" t="inlineStr">
        <is>
          <t>Non</t>
        </is>
      </c>
      <c r="D24" s="117" t="inlineStr">
        <is>
          <t>Journal d'audit : qui a modifié quoi, et quand</t>
        </is>
      </c>
      <c r="E24" s="119" t="inlineStr">
        <is>
          <t>Start (gratuit)</t>
        </is>
      </c>
      <c r="F24" s="103" t="n"/>
    </row>
    <row r="25" ht="32" customHeight="1">
      <c r="A25" s="103" t="n"/>
      <c r="B25" s="115" t="inlineStr">
        <is>
          <t>Volume</t>
        </is>
      </c>
      <c r="C25" s="116" t="inlineStr">
        <is>
          <t>300 OF, 20 postes</t>
        </is>
      </c>
      <c r="D25" s="117" t="inlineStr">
        <is>
          <t>Sans limite</t>
        </is>
      </c>
      <c r="E25" s="119" t="inlineStr">
        <is>
          <t>Start (gratuit)</t>
        </is>
      </c>
      <c r="F25" s="103" t="n"/>
    </row>
    <row r="26">
      <c r="A26" s="103" t="n"/>
      <c r="B26" s="103" t="n"/>
      <c r="C26" s="103" t="n"/>
      <c r="D26" s="103" t="n"/>
      <c r="E26" s="103" t="n"/>
      <c r="F26" s="103" t="n"/>
    </row>
    <row r="27" ht="22" customHeight="1">
      <c r="A27" s="103" t="n"/>
      <c r="B27" s="108" t="inlineStr">
        <is>
          <t>Pourquoi Qualis Start est gratuit, et le reste</t>
        </is>
      </c>
      <c r="C27" s="109" t="n"/>
      <c r="D27" s="109" t="n"/>
      <c r="E27" s="109" t="n"/>
      <c r="F27" s="103" t="n"/>
    </row>
    <row r="28" ht="30" customHeight="1">
      <c r="A28" s="103" t="n"/>
      <c r="B28" s="111" t="inlineStr">
        <is>
          <t>→  Qualis Start est gratuit à vie, sans carte bancaire et sans limite d'utilisateurs : articles, unités, entrepôts, emplacements, stock en temps réel, lots et numéros de série, clients, fournisseurs, personnel, tâches.</t>
        </is>
      </c>
      <c r="F28" s="103" t="n"/>
    </row>
    <row r="29" ht="30" customHeight="1">
      <c r="A29" s="103" t="n"/>
      <c r="B29" s="111" t="inlineStr">
        <is>
          <t>→  Nous le donnons parce que le stock est la base de tout le reste : une entreprise qui y tient son stock ajoute la production le jour où elle en a besoin, sans changer de logiciel ni ressaisir ses articles.</t>
        </is>
      </c>
      <c r="F29" s="103" t="n"/>
    </row>
    <row r="30" ht="30" customHeight="1">
      <c r="A30" s="103" t="n"/>
      <c r="B30" s="111" t="inlineStr">
        <is>
          <t>→  Les modules de production, d'achat, de vente, de facturation, de qualité et de maintenance font partie de Qualis Complete, payé par siège bureau, au mois ou à l'année, à prix public. Les opérateurs d'atelier ont un siège moins cher.</t>
        </is>
      </c>
      <c r="F30" s="103" t="n"/>
    </row>
    <row r="31">
      <c r="A31" s="103" t="n"/>
      <c r="B31" s="103" t="n"/>
      <c r="C31" s="103" t="n"/>
      <c r="D31" s="103" t="n"/>
      <c r="E31" s="103" t="n"/>
      <c r="F31" s="103" t="n"/>
    </row>
    <row r="32" ht="22" customHeight="1">
      <c r="A32" s="103" t="n"/>
      <c r="B32" s="108" t="inlineStr">
        <is>
          <t>Passer du fichier à Qualis ERP</t>
        </is>
      </c>
      <c r="C32" s="109" t="n"/>
      <c r="D32" s="109" t="n"/>
      <c r="E32" s="109" t="n"/>
      <c r="F32" s="103" t="n"/>
    </row>
    <row r="33" ht="18" customHeight="1">
      <c r="A33" s="103" t="n"/>
      <c r="B33" s="111" t="inlineStr">
        <is>
          <t xml:space="preserve">  1.  Créez un compte gratuit sur qualis-erp.com, en deux minutes, sans carte bancaire.</t>
        </is>
      </c>
      <c r="F33" s="103" t="n"/>
    </row>
    <row r="34" ht="30" customHeight="1">
      <c r="A34" s="103" t="n"/>
      <c r="B34" s="111" t="inlineStr">
        <is>
          <t xml:space="preserve">  2.  Importez vos articles à partir de la feuille « Gammes » (référence et désignation) avec le modèle CSV de Qualis ERP.</t>
        </is>
      </c>
      <c r="F34" s="103" t="n"/>
    </row>
    <row r="35" ht="30" customHeight="1">
      <c r="A35" s="103" t="n"/>
      <c r="B35" s="111" t="inlineStr">
        <is>
          <t xml:space="preserve">  3.  Tenez votre stock dans Qualis Start. Quand vous voulez planifier la production dans le même outil, ajoutez Qualis Complete.</t>
        </is>
      </c>
      <c r="F35" s="103" t="n"/>
    </row>
    <row r="36">
      <c r="A36" s="103" t="n"/>
      <c r="B36" s="103" t="n"/>
      <c r="C36" s="103" t="n"/>
      <c r="D36" s="103" t="n"/>
      <c r="E36" s="103" t="n"/>
      <c r="F36" s="103" t="n"/>
    </row>
    <row r="37" ht="38" customHeight="1">
      <c r="A37" s="103" t="n"/>
      <c r="B37" s="120" t="inlineStr">
        <is>
          <t>Créer un compte Qualis ERP gratuit  →</t>
        </is>
      </c>
      <c r="C37" s="121" t="n"/>
      <c r="D37" s="122" t="inlineStr">
        <is>
          <t>Voir les tarifs publics</t>
        </is>
      </c>
      <c r="E37" s="123" t="inlineStr">
        <is>
          <t>qualis-erp.com</t>
        </is>
      </c>
      <c r="F37" s="103" t="n"/>
    </row>
    <row r="38">
      <c r="A38" s="103" t="n"/>
      <c r="B38" s="103" t="n"/>
      <c r="C38" s="103" t="n"/>
      <c r="D38" s="103" t="n"/>
      <c r="E38" s="103" t="n"/>
      <c r="F38" s="103" t="n"/>
    </row>
    <row r="39" ht="40" customHeight="1">
      <c r="A39" s="103" t="n"/>
      <c r="B39" s="124" t="inlineStr">
        <is>
          <t>Qualis ERP est un ERP industriel en ligne, en français, pour les PME qui fabriquent sur stock ou à la commande. Édité par BERRYNOON SARLAU, Casablanca.</t>
        </is>
      </c>
      <c r="F39" s="103" t="n"/>
    </row>
    <row r="40">
      <c r="A40" s="103" t="n"/>
      <c r="B40" s="103" t="n"/>
      <c r="C40" s="103" t="n"/>
      <c r="D40" s="103" t="n"/>
      <c r="E40" s="103" t="n"/>
      <c r="F40" s="103" t="n"/>
    </row>
    <row r="41">
      <c r="A41" s="103" t="n"/>
      <c r="B41" s="103" t="n"/>
      <c r="C41" s="103" t="n"/>
      <c r="D41" s="103" t="n"/>
      <c r="E41" s="103" t="n"/>
      <c r="F41" s="103" t="n"/>
    </row>
    <row r="42">
      <c r="A42" s="103" t="n"/>
      <c r="B42" s="103" t="n"/>
      <c r="C42" s="103" t="n"/>
      <c r="D42" s="103" t="n"/>
      <c r="E42" s="103" t="n"/>
      <c r="F42" s="103" t="n"/>
    </row>
    <row r="43">
      <c r="A43" s="103" t="n"/>
      <c r="B43" s="103" t="n"/>
      <c r="C43" s="103" t="n"/>
      <c r="D43" s="103" t="n"/>
      <c r="E43" s="103" t="n"/>
      <c r="F43" s="103" t="n"/>
    </row>
    <row r="44">
      <c r="A44" s="103" t="n"/>
      <c r="B44" s="103" t="n"/>
      <c r="C44" s="103" t="n"/>
      <c r="D44" s="103" t="n"/>
      <c r="E44" s="103" t="n"/>
      <c r="F44" s="103" t="n"/>
    </row>
    <row r="45">
      <c r="A45" s="103" t="n"/>
      <c r="B45" s="103" t="n"/>
      <c r="C45" s="103" t="n"/>
      <c r="D45" s="103" t="n"/>
      <c r="E45" s="103" t="n"/>
      <c r="F45" s="103" t="n"/>
    </row>
    <row r="46">
      <c r="A46" s="103" t="n"/>
      <c r="B46" s="103" t="n"/>
      <c r="C46" s="103" t="n"/>
      <c r="D46" s="103" t="n"/>
      <c r="E46" s="103" t="n"/>
      <c r="F46" s="103" t="n"/>
    </row>
    <row r="47">
      <c r="A47" s="103" t="n"/>
      <c r="B47" s="103" t="n"/>
      <c r="C47" s="103" t="n"/>
      <c r="D47" s="103" t="n"/>
      <c r="E47" s="103" t="n"/>
      <c r="F47" s="103" t="n"/>
    </row>
    <row r="48">
      <c r="A48" s="103" t="n"/>
      <c r="B48" s="103" t="n"/>
      <c r="C48" s="103" t="n"/>
      <c r="D48" s="103" t="n"/>
      <c r="E48" s="103" t="n"/>
      <c r="F48" s="103" t="n"/>
    </row>
    <row r="49">
      <c r="A49" s="103" t="n"/>
      <c r="B49" s="103" t="n"/>
      <c r="C49" s="103" t="n"/>
      <c r="D49" s="103" t="n"/>
      <c r="E49" s="103" t="n"/>
      <c r="F49" s="103" t="n"/>
    </row>
    <row r="50">
      <c r="A50" s="103" t="n"/>
      <c r="B50" s="103" t="n"/>
      <c r="C50" s="103" t="n"/>
      <c r="D50" s="103" t="n"/>
      <c r="E50" s="103" t="n"/>
      <c r="F50" s="103" t="n"/>
    </row>
    <row r="51">
      <c r="A51" s="103" t="n"/>
      <c r="B51" s="103" t="n"/>
      <c r="C51" s="103" t="n"/>
      <c r="D51" s="103" t="n"/>
      <c r="E51" s="103" t="n"/>
      <c r="F51" s="103" t="n"/>
    </row>
    <row r="52">
      <c r="A52" s="103" t="n"/>
      <c r="B52" s="103" t="n"/>
      <c r="C52" s="103" t="n"/>
      <c r="D52" s="103" t="n"/>
      <c r="E52" s="103" t="n"/>
      <c r="F52" s="103" t="n"/>
    </row>
    <row r="53">
      <c r="A53" s="103" t="n"/>
      <c r="B53" s="103" t="n"/>
      <c r="C53" s="103" t="n"/>
      <c r="D53" s="103" t="n"/>
      <c r="E53" s="103" t="n"/>
      <c r="F53" s="103" t="n"/>
    </row>
    <row r="54">
      <c r="A54" s="103" t="n"/>
      <c r="B54" s="103" t="n"/>
      <c r="C54" s="103" t="n"/>
      <c r="D54" s="103" t="n"/>
      <c r="E54" s="103" t="n"/>
      <c r="F54" s="103" t="n"/>
    </row>
    <row r="55">
      <c r="A55" s="103" t="n"/>
      <c r="B55" s="103" t="n"/>
      <c r="C55" s="103" t="n"/>
      <c r="D55" s="103" t="n"/>
      <c r="E55" s="103" t="n"/>
      <c r="F55" s="103" t="n"/>
    </row>
    <row r="56">
      <c r="A56" s="103" t="n"/>
      <c r="B56" s="103" t="n"/>
      <c r="C56" s="103" t="n"/>
      <c r="D56" s="103" t="n"/>
      <c r="E56" s="103" t="n"/>
      <c r="F56" s="103" t="n"/>
    </row>
    <row r="57">
      <c r="A57" s="103" t="n"/>
      <c r="B57" s="103" t="n"/>
      <c r="C57" s="103" t="n"/>
      <c r="D57" s="103" t="n"/>
      <c r="E57" s="103" t="n"/>
      <c r="F57" s="103" t="n"/>
    </row>
    <row r="58">
      <c r="A58" s="103" t="n"/>
      <c r="B58" s="103" t="n"/>
      <c r="C58" s="103" t="n"/>
      <c r="D58" s="103" t="n"/>
      <c r="E58" s="103" t="n"/>
      <c r="F58" s="103" t="n"/>
    </row>
    <row r="59">
      <c r="A59" s="103" t="n"/>
      <c r="B59" s="103" t="n"/>
      <c r="C59" s="103" t="n"/>
      <c r="D59" s="103" t="n"/>
      <c r="E59" s="103" t="n"/>
      <c r="F59" s="103" t="n"/>
    </row>
    <row r="60">
      <c r="A60" s="103" t="n"/>
      <c r="B60" s="103" t="n"/>
      <c r="C60" s="103" t="n"/>
      <c r="D60" s="103" t="n"/>
      <c r="E60" s="103" t="n"/>
      <c r="F60" s="103" t="n"/>
    </row>
    <row r="61">
      <c r="A61" s="103" t="n"/>
      <c r="B61" s="103" t="n"/>
      <c r="C61" s="103" t="n"/>
      <c r="D61" s="103" t="n"/>
      <c r="E61" s="103" t="n"/>
      <c r="F61" s="103" t="n"/>
    </row>
    <row r="62">
      <c r="A62" s="103" t="n"/>
      <c r="B62" s="103" t="n"/>
      <c r="C62" s="103" t="n"/>
      <c r="D62" s="103" t="n"/>
      <c r="E62" s="103" t="n"/>
      <c r="F62" s="103" t="n"/>
    </row>
    <row r="63">
      <c r="A63" s="103" t="n"/>
      <c r="B63" s="103" t="n"/>
      <c r="C63" s="103" t="n"/>
      <c r="D63" s="103" t="n"/>
      <c r="E63" s="103" t="n"/>
      <c r="F63" s="103" t="n"/>
    </row>
    <row r="64">
      <c r="A64" s="103" t="n"/>
      <c r="B64" s="103" t="n"/>
      <c r="C64" s="103" t="n"/>
      <c r="D64" s="103" t="n"/>
      <c r="E64" s="103" t="n"/>
      <c r="F64" s="103" t="n"/>
    </row>
    <row r="65">
      <c r="A65" s="103" t="n"/>
      <c r="B65" s="103" t="n"/>
      <c r="C65" s="103" t="n"/>
      <c r="D65" s="103" t="n"/>
      <c r="E65" s="103" t="n"/>
      <c r="F65" s="103" t="n"/>
    </row>
    <row r="66">
      <c r="A66" s="103" t="n"/>
      <c r="B66" s="103" t="n"/>
      <c r="C66" s="103" t="n"/>
      <c r="D66" s="103" t="n"/>
      <c r="E66" s="103" t="n"/>
      <c r="F66" s="103" t="n"/>
    </row>
    <row r="67">
      <c r="A67" s="103" t="n"/>
      <c r="B67" s="103" t="n"/>
      <c r="C67" s="103" t="n"/>
      <c r="D67" s="103" t="n"/>
      <c r="E67" s="103" t="n"/>
      <c r="F67" s="103" t="n"/>
    </row>
    <row r="68">
      <c r="A68" s="103" t="n"/>
      <c r="B68" s="103" t="n"/>
      <c r="C68" s="103" t="n"/>
      <c r="D68" s="103" t="n"/>
      <c r="E68" s="103" t="n"/>
      <c r="F68" s="103" t="n"/>
    </row>
    <row r="69">
      <c r="A69" s="103" t="n"/>
      <c r="B69" s="103" t="n"/>
      <c r="C69" s="103" t="n"/>
      <c r="D69" s="103" t="n"/>
      <c r="E69" s="103" t="n"/>
      <c r="F69" s="103" t="n"/>
    </row>
    <row r="70">
      <c r="A70" s="103" t="n"/>
      <c r="B70" s="103" t="n"/>
      <c r="C70" s="103" t="n"/>
      <c r="D70" s="103" t="n"/>
      <c r="E70" s="103" t="n"/>
      <c r="F70" s="103" t="n"/>
    </row>
    <row r="71">
      <c r="A71" s="103" t="n"/>
      <c r="B71" s="103" t="n"/>
      <c r="C71" s="103" t="n"/>
      <c r="D71" s="103" t="n"/>
      <c r="E71" s="103" t="n"/>
      <c r="F71" s="103" t="n"/>
    </row>
    <row r="72">
      <c r="A72" s="103" t="n"/>
      <c r="B72" s="103" t="n"/>
      <c r="C72" s="103" t="n"/>
      <c r="D72" s="103" t="n"/>
      <c r="E72" s="103" t="n"/>
      <c r="F72" s="103" t="n"/>
    </row>
    <row r="73">
      <c r="A73" s="103" t="n"/>
      <c r="B73" s="103" t="n"/>
      <c r="C73" s="103" t="n"/>
      <c r="D73" s="103" t="n"/>
      <c r="E73" s="103" t="n"/>
      <c r="F73" s="103" t="n"/>
    </row>
    <row r="74">
      <c r="A74" s="103" t="n"/>
      <c r="B74" s="103" t="n"/>
      <c r="C74" s="103" t="n"/>
      <c r="D74" s="103" t="n"/>
      <c r="E74" s="103" t="n"/>
      <c r="F74" s="103" t="n"/>
    </row>
    <row r="75">
      <c r="A75" s="103" t="n"/>
      <c r="B75" s="103" t="n"/>
      <c r="C75" s="103" t="n"/>
      <c r="D75" s="103" t="n"/>
      <c r="E75" s="103" t="n"/>
      <c r="F75" s="103" t="n"/>
    </row>
    <row r="76">
      <c r="A76" s="103" t="n"/>
      <c r="B76" s="103" t="n"/>
      <c r="C76" s="103" t="n"/>
      <c r="D76" s="103" t="n"/>
      <c r="E76" s="103" t="n"/>
      <c r="F76" s="103" t="n"/>
    </row>
    <row r="77">
      <c r="A77" s="103" t="n"/>
      <c r="B77" s="103" t="n"/>
      <c r="C77" s="103" t="n"/>
      <c r="D77" s="103" t="n"/>
      <c r="E77" s="103" t="n"/>
      <c r="F77" s="103" t="n"/>
    </row>
    <row r="78">
      <c r="A78" s="103" t="n"/>
      <c r="B78" s="103" t="n"/>
      <c r="C78" s="103" t="n"/>
      <c r="D78" s="103" t="n"/>
      <c r="E78" s="103" t="n"/>
      <c r="F78" s="103" t="n"/>
    </row>
    <row r="79">
      <c r="A79" s="103" t="n"/>
      <c r="B79" s="103" t="n"/>
      <c r="C79" s="103" t="n"/>
      <c r="D79" s="103" t="n"/>
      <c r="E79" s="103" t="n"/>
      <c r="F79" s="103"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Planning de production Excel</dc:title>
  <dc:subject xmlns:dc="http://purl.org/dc/elements/1.1/">Modèle gratuit de planning de production</dc:subject>
  <dc:language xmlns:dc="http://purl.org/dc/elements/1.1/">fr-FR</dc:language>
  <dcterms:created xmlns:dcterms="http://purl.org/dc/terms/" xmlns:xsi="http://www.w3.org/2001/XMLSchema-instance" xsi:type="dcterms:W3CDTF">2026-11-05T21:41:24Z</dcterms:created>
  <dcterms:modified xmlns:dcterms="http://purl.org/dc/terms/" xmlns:xsi="http://www.w3.org/2001/XMLSchema-instance" xsi:type="dcterms:W3CDTF">2026-11-05T21:41:28Z</dcterms:modified>
  <cp:keywords>planning de production, ordre de fabrication, charge capacité, gantt, excel</cp:keywords>
</cp:coreProperties>
</file>